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der Control" sheetId="1" state="visible" r:id="rId1"/>
    <sheet xmlns:r="http://schemas.openxmlformats.org/officeDocument/2006/relationships" name="Order Summary" sheetId="2" state="visible" r:id="rId2"/>
    <sheet xmlns:r="http://schemas.openxmlformats.org/officeDocument/2006/relationships" name="Panel Cut List" sheetId="3" state="visible" r:id="rId3"/>
    <sheet xmlns:r="http://schemas.openxmlformats.org/officeDocument/2006/relationships" name="Blank List" sheetId="4" state="visible" r:id="rId4"/>
    <sheet xmlns:r="http://schemas.openxmlformats.org/officeDocument/2006/relationships" name="Blank Order" sheetId="5" state="visible" r:id="rId5"/>
    <sheet xmlns:r="http://schemas.openxmlformats.org/officeDocument/2006/relationships" name="Trim &amp; Accessories" sheetId="6" state="visible" r:id="rId6"/>
    <sheet xmlns:r="http://schemas.openxmlformats.org/officeDocument/2006/relationships" name="Drip Edge KR-COL-ED-01" sheetId="7" state="visible" r:id="rId7"/>
    <sheet xmlns:r="http://schemas.openxmlformats.org/officeDocument/2006/relationships" name="Color Match" sheetId="8" state="visible" r:id="rId8"/>
    <sheet xmlns:r="http://schemas.openxmlformats.org/officeDocument/2006/relationships" name="Field Verification" sheetId="9" state="visible" r:id="rId9"/>
    <sheet xmlns:r="http://schemas.openxmlformats.org/officeDocument/2006/relationships" name="Contract &amp; Payments" sheetId="10" state="visible" r:id="rId10"/>
    <sheet xmlns:r="http://schemas.openxmlformats.org/officeDocument/2006/relationships" name="Production Plan" sheetId="11" state="visible" r:id="rId11"/>
    <sheet xmlns:r="http://schemas.openxmlformats.org/officeDocument/2006/relationships" name="Budget &amp; Job Costing" sheetId="12" state="visible" r:id="rId12"/>
    <sheet xmlns:r="http://schemas.openxmlformats.org/officeDocument/2006/relationships" name="Reconciliation &amp; QC" sheetId="13" state="visible" r:id="rId13"/>
    <sheet xmlns:r="http://schemas.openxmlformats.org/officeDocument/2006/relationships" name="Corrections v1 to v3" sheetId="14" state="visible" r:id="rId14"/>
    <sheet xmlns:r="http://schemas.openxmlformats.org/officeDocument/2006/relationships" name="Supplier Confirmations" sheetId="15" state="visible" r:id="rId15"/>
    <sheet xmlns:r="http://schemas.openxmlformats.org/officeDocument/2006/relationships" name="Sources" sheetId="16" state="visible" r:id="rId16"/>
  </sheets>
  <definedNames>
    <definedName name="NET_COVERAGE_IN">'Order Control'!$B$9</definedName>
    <definedName name="MIN_CUT_IN">'Order Control'!$B$10</definedName>
    <definedName name="EAVE_PROJECTION_IN">'Order Control'!$B$11</definedName>
    <definedName name="VERIFY_ALLOWANCE_IN">'Order Control'!$B$12</definedName>
    <definedName name="RIP_THRESHOLD_IN">'Order Control'!$B$13</definedName>
    <definedName name="TRIM_STOCK_FT">'Order Control'!$B$14</definedName>
    <definedName name="TRIM_WASTE_PCT">'Order Control'!$B$15</definedName>
    <definedName name="FASTENER_ROW_IN">'Order Control'!$B$16</definedName>
    <definedName name="SCREWS_PER_ROW">'Order Control'!$B$17</definedName>
    <definedName name="STITCH_SPACING_IN">'Order Control'!$B$18</definedName>
    <definedName name="FASTENER_WASTE_PCT">'Order Control'!$B$19</definedName>
    <definedName name="PANEL_COST_LF">'Budget &amp; Job Costing'!$B$7</definedName>
    <definedName name="TRIM_COST_STICK">'Budget &amp; Job Costing'!$B$8</definedName>
    <definedName name="CUSTOM_DRIP_STICK">'Budget &amp; Job Costing'!$B$9</definedName>
    <definedName name="SCREW_COST_EA">'Budget &amp; Job Costing'!$B$10</definedName>
    <definedName name="CLOSURE_COST_LF">'Budget &amp; Job Costing'!$B$11</definedName>
    <definedName name="BUTYL_COST_ROLL">'Budget &amp; Job Costing'!$B$12</definedName>
    <definedName name="IW_COST_SQ">'Budget &amp; Job Costing'!$B$13</definedName>
    <definedName name="PLY_COST_SHEET">'Budget &amp; Job Costing'!$B$14</definedName>
    <definedName name="LABOR_DAY_RATE">'Budget &amp; Job Costing'!$B$15</definedName>
    <definedName name="CREW_SIZE">'Budget &amp; Job Costing'!$B$16</definedName>
    <definedName name="DUMPSTER_COST">'Budget &amp; Job Costing'!$B$17</definedName>
    <definedName name="PERMIT_COST">'Budget &amp; Job Costing'!$B$18</definedName>
    <definedName name="DELIVERY_FEE">'Budget &amp; Job Costing'!$B$19</definedName>
    <definedName name="_xlnm.Print_Titles" localSheetId="2">'Panel Cut List'!$5:$5</definedName>
    <definedName name="_xlnm.Print_Titles" localSheetId="3">'Blank List'!$5:$5</definedName>
  </definedNames>
  <calcPr calcId="124519" fullCalcOnLoad="1"/>
</workbook>
</file>

<file path=xl/styles.xml><?xml version="1.0" encoding="utf-8"?>
<styleSheet xmlns="http://schemas.openxmlformats.org/spreadsheetml/2006/main">
  <numFmts count="6">
    <numFmt numFmtId="164" formatCode="0.000"/>
    <numFmt numFmtId="165" formatCode="0.0"/>
    <numFmt numFmtId="166" formatCode="0.0%"/>
    <numFmt numFmtId="167" formatCode="+0.00;−0.00;0.00"/>
    <numFmt numFmtId="168" formatCode="&quot;$&quot;#,##0"/>
    <numFmt numFmtId="169" formatCode="&quot;$&quot;#,##0;[Red]-&quot;$&quot;#,##0"/>
  </numFmts>
  <fonts count="13">
    <font>
      <name val="Calibri"/>
      <family val="2"/>
      <color theme="1"/>
      <sz val="11"/>
      <scheme val="minor"/>
    </font>
    <font>
      <name val="Helvetica Neue"/>
      <b val="1"/>
      <color rgb="00FFFFFF"/>
      <sz val="15"/>
    </font>
    <font>
      <name val="Helvetica Neue"/>
      <color rgb="006B7280"/>
      <sz val="8.5"/>
    </font>
    <font>
      <name val="Helvetica Neue"/>
      <b val="1"/>
      <color rgb="0016314D"/>
      <sz val="10"/>
    </font>
    <font>
      <name val="Helvetica Neue"/>
      <b val="1"/>
      <color rgb="009B2C2C"/>
      <sz val="10"/>
    </font>
    <font>
      <name val="Helvetica Neue"/>
      <b val="1"/>
      <color rgb="00FFFFFF"/>
      <sz val="9"/>
    </font>
    <font>
      <name val="Helvetica Neue"/>
      <color rgb="001F2933"/>
      <sz val="10"/>
    </font>
    <font>
      <name val="Helvetica Neue"/>
      <b val="1"/>
      <color rgb="001F2933"/>
      <sz val="10"/>
    </font>
    <font>
      <name val="Helvetica Neue"/>
      <b val="1"/>
      <color rgb="001E6B3A"/>
      <sz val="10"/>
    </font>
    <font>
      <name val="Helvetica Neue"/>
      <b val="1"/>
      <color rgb="008A6A3C"/>
      <sz val="10"/>
    </font>
    <font>
      <name val="Helvetica Neue"/>
      <b val="1"/>
      <color rgb="0016314D"/>
      <sz val="13"/>
    </font>
    <font>
      <name val="Helvetica Neue"/>
      <color rgb="009B2C2C"/>
      <sz val="8"/>
    </font>
    <font>
      <name val="Helvetica Neue"/>
      <color rgb="00FFFFFF"/>
      <sz val="9"/>
    </font>
  </fonts>
  <fills count="12">
    <fill>
      <patternFill/>
    </fill>
    <fill>
      <patternFill patternType="gray125"/>
    </fill>
    <fill>
      <patternFill patternType="solid">
        <fgColor rgb="0016314D"/>
      </patternFill>
    </fill>
    <fill>
      <patternFill patternType="solid">
        <fgColor rgb="00F6F2ED"/>
      </patternFill>
    </fill>
    <fill>
      <patternFill patternType="solid">
        <fgColor rgb="002C4A6E"/>
      </patternFill>
    </fill>
    <fill>
      <patternFill patternType="solid">
        <fgColor rgb="00FFF3DF"/>
      </patternFill>
    </fill>
    <fill>
      <patternFill patternType="solid">
        <fgColor rgb="00F4F6F8"/>
      </patternFill>
    </fill>
    <fill>
      <patternFill patternType="solid">
        <fgColor rgb="00FBF1E2"/>
      </patternFill>
    </fill>
    <fill>
      <patternFill patternType="solid">
        <fgColor rgb="00524942"/>
      </patternFill>
    </fill>
    <fill>
      <patternFill patternType="solid">
        <fgColor rgb="00373536"/>
      </patternFill>
    </fill>
    <fill>
      <patternFill patternType="solid">
        <fgColor rgb="00666664"/>
      </patternFill>
    </fill>
    <fill>
      <patternFill patternType="solid">
        <fgColor rgb="00B4B4AC"/>
      </patternFill>
    </fill>
  </fills>
  <borders count="5">
    <border>
      <left/>
      <right/>
      <top/>
      <bottom/>
      <diagonal/>
    </border>
    <border>
      <left style="thin">
        <color rgb="00C8CDD4"/>
      </left>
      <right style="thin">
        <color rgb="00C8CDD4"/>
      </right>
      <top style="thin">
        <color rgb="00C8CDD4"/>
      </top>
      <bottom style="thin">
        <color rgb="00C8CDD4"/>
      </bottom>
    </border>
    <border>
      <left/>
      <right/>
      <top style="thin">
        <color rgb="00C8CDD4"/>
      </top>
      <bottom/>
      <diagonal/>
    </border>
    <border>
      <left/>
      <right style="thin">
        <color rgb="00C8CDD4"/>
      </right>
      <top style="thin">
        <color rgb="00C8CDD4"/>
      </top>
      <bottom/>
      <diagonal/>
    </border>
    <border>
      <left/>
      <right style="thin">
        <color rgb="00C8CDD4"/>
      </right>
      <top style="thin">
        <color rgb="00C8CDD4"/>
      </top>
      <bottom style="thin">
        <color rgb="00C8CDD4"/>
      </bottom>
      <diagonal/>
    </border>
  </borders>
  <cellStyleXfs count="1">
    <xf numFmtId="0" fontId="0" fillId="0" borderId="0"/>
  </cellStyleXfs>
  <cellXfs count="100">
    <xf numFmtId="0" fontId="0" fillId="0" borderId="0" pivotButton="0" quotePrefix="0" xfId="0"/>
    <xf numFmtId="0" fontId="1" fillId="2" borderId="0" applyAlignment="1" pivotButton="0" quotePrefix="0" xfId="0">
      <alignment horizontal="left" vertical="center" wrapText="1" indent="1"/>
    </xf>
    <xf numFmtId="0" fontId="0" fillId="2" borderId="0" pivotButton="0" quotePrefix="0" xfId="0"/>
    <xf numFmtId="0" fontId="2" fillId="0" borderId="0" applyAlignment="1" pivotButton="0" quotePrefix="0" xfId="0">
      <alignment horizontal="left" vertical="center" indent="1"/>
    </xf>
    <xf numFmtId="0" fontId="3" fillId="0" borderId="0" pivotButton="0" quotePrefix="0" xfId="0"/>
    <xf numFmtId="0" fontId="4" fillId="0" borderId="0" pivotButton="0" quotePrefix="0" xfId="0"/>
    <xf numFmtId="0" fontId="3" fillId="3" borderId="0" applyAlignment="1" pivotButton="0" quotePrefix="0" xfId="0">
      <alignment horizontal="left" vertical="center" indent="1"/>
    </xf>
    <xf numFmtId="0" fontId="5" fillId="4" borderId="1" applyAlignment="1" pivotButton="0" quotePrefix="0" xfId="0">
      <alignment horizontal="center" vertical="center" wrapText="1"/>
    </xf>
    <xf numFmtId="0" fontId="6" fillId="0" borderId="0" pivotButton="0" quotePrefix="0" xfId="0"/>
    <xf numFmtId="0" fontId="7" fillId="5" borderId="1" applyAlignment="1" pivotButton="0" quotePrefix="0" xfId="0">
      <alignment horizontal="center" vertical="center"/>
    </xf>
    <xf numFmtId="0" fontId="2" fillId="0" borderId="0" pivotButton="0" quotePrefix="0" xfId="0"/>
    <xf numFmtId="0" fontId="2" fillId="0" borderId="0" applyAlignment="1" pivotButton="0" quotePrefix="0" xfId="0">
      <alignment horizontal="left" vertical="top" wrapText="1"/>
    </xf>
    <xf numFmtId="9" fontId="7" fillId="5" borderId="1" applyAlignment="1" pivotButton="0" quotePrefix="0" xfId="0">
      <alignment horizontal="center" vertical="center"/>
    </xf>
    <xf numFmtId="0" fontId="8" fillId="0" borderId="1" applyAlignment="1" pivotButton="0" quotePrefix="0" xfId="0">
      <alignment horizontal="center" vertical="center"/>
    </xf>
    <xf numFmtId="0" fontId="0" fillId="0" borderId="4" pivotButton="0" quotePrefix="0" xfId="0"/>
    <xf numFmtId="0" fontId="7" fillId="0" borderId="0" pivotButton="0" quotePrefix="0" xfId="0"/>
    <xf numFmtId="0" fontId="6" fillId="0" borderId="1" pivotButton="0" quotePrefix="0" xfId="0"/>
    <xf numFmtId="1" fontId="10" fillId="0" borderId="1" applyAlignment="1" pivotButton="0" quotePrefix="0" xfId="0">
      <alignment horizontal="left" vertical="center"/>
    </xf>
    <xf numFmtId="0" fontId="0" fillId="0" borderId="1" applyAlignment="1" pivotButton="0" quotePrefix="0" xfId="0">
      <alignment horizontal="center" vertical="center"/>
    </xf>
    <xf numFmtId="0" fontId="2" fillId="0" borderId="1" pivotButton="0" quotePrefix="0" xfId="0"/>
    <xf numFmtId="2" fontId="10" fillId="0" borderId="1" applyAlignment="1" pivotButton="0" quotePrefix="0" xfId="0">
      <alignment horizontal="left" vertical="center"/>
    </xf>
    <xf numFmtId="165" fontId="10" fillId="0" borderId="1" applyAlignment="1" pivotButton="0" quotePrefix="0" xfId="0">
      <alignment horizontal="left" vertical="center"/>
    </xf>
    <xf numFmtId="166" fontId="10" fillId="0" borderId="1" applyAlignment="1" pivotButton="0" quotePrefix="0" xfId="0">
      <alignment horizontal="left" vertical="center"/>
    </xf>
    <xf numFmtId="0" fontId="0" fillId="0" borderId="1" pivotButton="0" quotePrefix="0" xfId="0"/>
    <xf numFmtId="0" fontId="7" fillId="0" borderId="1" pivotButton="0" quotePrefix="0" xfId="0"/>
    <xf numFmtId="1" fontId="0" fillId="0" borderId="1" pivotButton="0" quotePrefix="0" xfId="0"/>
    <xf numFmtId="2" fontId="0" fillId="0" borderId="1" pivotButton="0" quotePrefix="0" xfId="0"/>
    <xf numFmtId="0" fontId="6" fillId="0" borderId="1" applyAlignment="1" pivotButton="0" quotePrefix="0" xfId="0">
      <alignment horizontal="center" vertical="center"/>
    </xf>
    <xf numFmtId="2" fontId="6" fillId="3" borderId="1" pivotButton="0" quotePrefix="0" xfId="0"/>
    <xf numFmtId="164" fontId="6" fillId="3" borderId="1" pivotButton="0" quotePrefix="0" xfId="0"/>
    <xf numFmtId="0" fontId="6" fillId="3" borderId="1" applyAlignment="1" pivotButton="0" quotePrefix="0" xfId="0">
      <alignment horizontal="center" vertical="center"/>
    </xf>
    <xf numFmtId="2" fontId="6" fillId="0" borderId="1" pivotButton="0" quotePrefix="0" xfId="0"/>
    <xf numFmtId="1" fontId="6" fillId="0" borderId="1" pivotButton="0" quotePrefix="0" xfId="0"/>
    <xf numFmtId="165" fontId="6" fillId="0" borderId="1" pivotButton="0" quotePrefix="0" xfId="0"/>
    <xf numFmtId="0" fontId="7" fillId="6" borderId="1" pivotButton="0" quotePrefix="0" xfId="0"/>
    <xf numFmtId="0" fontId="6" fillId="6" borderId="1" applyAlignment="1" pivotButton="0" quotePrefix="0" xfId="0">
      <alignment horizontal="center" vertical="center"/>
    </xf>
    <xf numFmtId="0" fontId="2" fillId="6" borderId="1" pivotButton="0" quotePrefix="0" xfId="0"/>
    <xf numFmtId="0" fontId="6" fillId="6" borderId="1" pivotButton="0" quotePrefix="0" xfId="0"/>
    <xf numFmtId="2" fontId="6" fillId="6" borderId="1" pivotButton="0" quotePrefix="0" xfId="0"/>
    <xf numFmtId="1" fontId="6" fillId="6" borderId="1" pivotButton="0" quotePrefix="0" xfId="0"/>
    <xf numFmtId="165" fontId="6" fillId="6" borderId="1" pivotButton="0" quotePrefix="0" xfId="0"/>
    <xf numFmtId="0" fontId="9" fillId="0" borderId="1" pivotButton="0" quotePrefix="0" xfId="0"/>
    <xf numFmtId="165" fontId="9" fillId="0" borderId="1" pivotButton="0" quotePrefix="0" xfId="0"/>
    <xf numFmtId="0" fontId="9" fillId="0" borderId="1" applyAlignment="1" pivotButton="0" quotePrefix="0" xfId="0">
      <alignment horizontal="center" vertical="center"/>
    </xf>
    <xf numFmtId="0" fontId="9" fillId="6" borderId="1" pivotButton="0" quotePrefix="0" xfId="0"/>
    <xf numFmtId="165" fontId="9" fillId="6" borderId="1" pivotButton="0" quotePrefix="0" xfId="0"/>
    <xf numFmtId="0" fontId="9" fillId="6" borderId="1" applyAlignment="1" pivotButton="0" quotePrefix="0" xfId="0">
      <alignment horizontal="center" vertical="center"/>
    </xf>
    <xf numFmtId="0" fontId="7" fillId="3" borderId="1" pivotButton="0" quotePrefix="0" xfId="0"/>
    <xf numFmtId="2" fontId="7" fillId="3" borderId="1" pivotButton="0" quotePrefix="0" xfId="0"/>
    <xf numFmtId="165" fontId="7" fillId="3" borderId="1" pivotButton="0" quotePrefix="0" xfId="0"/>
    <xf numFmtId="1" fontId="7" fillId="3" borderId="1" pivotButton="0" quotePrefix="0" xfId="0"/>
    <xf numFmtId="0" fontId="7" fillId="7" borderId="1" pivotButton="0" quotePrefix="0" xfId="0"/>
    <xf numFmtId="0" fontId="6" fillId="7" borderId="1" applyAlignment="1" pivotButton="0" quotePrefix="0" xfId="0">
      <alignment horizontal="center" vertical="center"/>
    </xf>
    <xf numFmtId="1" fontId="6" fillId="7" borderId="1" pivotButton="0" quotePrefix="0" xfId="0"/>
    <xf numFmtId="0" fontId="6" fillId="7" borderId="1" pivotButton="0" quotePrefix="0" xfId="0"/>
    <xf numFmtId="2" fontId="6" fillId="7" borderId="1" pivotButton="0" quotePrefix="0" xfId="0"/>
    <xf numFmtId="0" fontId="6" fillId="0" borderId="1" applyAlignment="1" pivotButton="0" quotePrefix="0" xfId="0">
      <alignment horizontal="left" vertical="top" wrapText="1"/>
    </xf>
    <xf numFmtId="0" fontId="6" fillId="6" borderId="1" applyAlignment="1" pivotButton="0" quotePrefix="0" xfId="0">
      <alignment horizontal="left" vertical="top" wrapText="1"/>
    </xf>
    <xf numFmtId="2" fontId="0" fillId="3" borderId="1" pivotButton="0" quotePrefix="0" xfId="0"/>
    <xf numFmtId="1" fontId="10" fillId="0" borderId="1" pivotButton="0" quotePrefix="0" xfId="0"/>
    <xf numFmtId="0" fontId="2" fillId="0" borderId="1" applyAlignment="1" pivotButton="0" quotePrefix="0" xfId="0">
      <alignment horizontal="left" vertical="top" wrapText="1"/>
    </xf>
    <xf numFmtId="1" fontId="7" fillId="0" borderId="1" pivotButton="0" quotePrefix="0" xfId="0"/>
    <xf numFmtId="0" fontId="11" fillId="0" borderId="1" applyAlignment="1" pivotButton="0" quotePrefix="0" xfId="0">
      <alignment horizontal="left" vertical="top" wrapText="1"/>
    </xf>
    <xf numFmtId="164" fontId="0" fillId="3" borderId="1" pivotButton="0" quotePrefix="0" xfId="0"/>
    <xf numFmtId="164" fontId="7" fillId="3" borderId="1" pivotButton="0" quotePrefix="0" xfId="0"/>
    <xf numFmtId="165" fontId="0" fillId="0" borderId="1" pivotButton="0" quotePrefix="0" xfId="0"/>
    <xf numFmtId="1" fontId="0" fillId="3" borderId="1" pivotButton="0" quotePrefix="0" xfId="0"/>
    <xf numFmtId="0" fontId="0" fillId="3" borderId="1" pivotButton="0" quotePrefix="0" xfId="0"/>
    <xf numFmtId="0" fontId="2" fillId="3" borderId="1" pivotButton="0" quotePrefix="0" xfId="0"/>
    <xf numFmtId="0" fontId="6" fillId="0" borderId="0" applyAlignment="1" pivotButton="0" quotePrefix="0" xfId="0">
      <alignment horizontal="left" vertical="top" wrapText="1"/>
    </xf>
    <xf numFmtId="0" fontId="12" fillId="8" borderId="1" applyAlignment="1" pivotButton="0" quotePrefix="0" xfId="0">
      <alignment horizontal="center" vertical="center"/>
    </xf>
    <xf numFmtId="0" fontId="4" fillId="0" borderId="1" pivotButton="0" quotePrefix="0" xfId="0"/>
    <xf numFmtId="0" fontId="12" fillId="9" borderId="1" applyAlignment="1" pivotButton="0" quotePrefix="0" xfId="0">
      <alignment horizontal="center" vertical="center"/>
    </xf>
    <xf numFmtId="0" fontId="12" fillId="10" borderId="1" applyAlignment="1" pivotButton="0" quotePrefix="0" xfId="0">
      <alignment horizontal="center" vertical="center"/>
    </xf>
    <xf numFmtId="0" fontId="12" fillId="11" borderId="1" applyAlignment="1" pivotButton="0" quotePrefix="0" xfId="0">
      <alignment horizontal="center" vertical="center"/>
    </xf>
    <xf numFmtId="0" fontId="7" fillId="0" borderId="1" applyAlignment="1" pivotButton="0" quotePrefix="0" xfId="0">
      <alignment horizontal="center" vertical="center"/>
    </xf>
    <xf numFmtId="164" fontId="0" fillId="0" borderId="1" pivotButton="0" quotePrefix="0" xfId="0"/>
    <xf numFmtId="164" fontId="0" fillId="5" borderId="1" pivotButton="0" quotePrefix="0" xfId="0"/>
    <xf numFmtId="0" fontId="2" fillId="5" borderId="1" pivotButton="0" quotePrefix="0" xfId="0"/>
    <xf numFmtId="168" fontId="10" fillId="0" borderId="1" pivotButton="0" quotePrefix="0" xfId="0"/>
    <xf numFmtId="168" fontId="7" fillId="0" borderId="1" pivotButton="0" quotePrefix="0" xfId="0"/>
    <xf numFmtId="168" fontId="0" fillId="0" borderId="0" pivotButton="0" quotePrefix="0" xfId="0"/>
    <xf numFmtId="168" fontId="0" fillId="0" borderId="1" pivotButton="0" quotePrefix="0" xfId="0"/>
    <xf numFmtId="168" fontId="0" fillId="3" borderId="1" pivotButton="0" quotePrefix="0" xfId="0"/>
    <xf numFmtId="165" fontId="0" fillId="0" borderId="0" pivotButton="0" quotePrefix="0" xfId="0"/>
    <xf numFmtId="2" fontId="7" fillId="5" borderId="1" pivotButton="0" quotePrefix="0" xfId="0"/>
    <xf numFmtId="1" fontId="7" fillId="5" borderId="1" pivotButton="0" quotePrefix="0" xfId="0"/>
    <xf numFmtId="0" fontId="0" fillId="5" borderId="1" pivotButton="0" quotePrefix="0" xfId="0"/>
    <xf numFmtId="169" fontId="0" fillId="0" borderId="1" pivotButton="0" quotePrefix="0" xfId="0"/>
    <xf numFmtId="168" fontId="10" fillId="3" borderId="1" pivotButton="0" quotePrefix="0" xfId="0"/>
    <xf numFmtId="166" fontId="10" fillId="0" borderId="1" pivotButton="0" quotePrefix="0" xfId="0"/>
    <xf numFmtId="9" fontId="10" fillId="0" borderId="1" pivotButton="0" quotePrefix="0" xfId="0"/>
    <xf numFmtId="0" fontId="10" fillId="0" borderId="1" pivotButton="0" quotePrefix="0" xfId="0"/>
    <xf numFmtId="2" fontId="7" fillId="0" borderId="1" pivotButton="0" quotePrefix="0" xfId="0"/>
    <xf numFmtId="167" fontId="0" fillId="0" borderId="1" pivotButton="0" quotePrefix="0" xfId="0"/>
    <xf numFmtId="2" fontId="10" fillId="0" borderId="1" pivotButton="0" quotePrefix="0" xfId="0"/>
    <xf numFmtId="166" fontId="7" fillId="0" borderId="1" pivotButton="0" quotePrefix="0" xfId="0"/>
    <xf numFmtId="0" fontId="4" fillId="0" borderId="1" applyAlignment="1" pivotButton="0" quotePrefix="0" xfId="0">
      <alignment horizontal="center" vertical="center"/>
    </xf>
    <xf numFmtId="0" fontId="7" fillId="0" borderId="1" applyAlignment="1" pivotButton="0" quotePrefix="0" xfId="0">
      <alignment horizontal="left" vertical="top" wrapText="1"/>
    </xf>
    <xf numFmtId="0" fontId="8"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H51"/>
  <sheetViews>
    <sheetView workbookViewId="0">
      <selection activeCell="A1" sqref="A1"/>
    </sheetView>
  </sheetViews>
  <sheetFormatPr baseColWidth="8" defaultRowHeight="15"/>
  <cols>
    <col width="26" customWidth="1" min="1" max="1"/>
    <col width="15" customWidth="1" min="2" max="2"/>
    <col width="15" customWidth="1" min="3" max="3"/>
    <col width="13" customWidth="1" min="4" max="4"/>
    <col width="13" customWidth="1" min="5" max="5"/>
    <col width="13" customWidth="1" min="6" max="6"/>
    <col width="13" customWidth="1" min="7" max="7"/>
    <col width="62" customWidth="1" min="8" max="8"/>
  </cols>
  <sheetData>
    <row r="1" ht="24" customHeight="1">
      <c r="A1" s="1" t="inlineStr">
        <is>
          <t>COLLINS METAL ROOF — ORDER CONTROL</t>
        </is>
      </c>
      <c r="B1" s="2" t="n"/>
      <c r="C1" s="2" t="n"/>
      <c r="D1" s="2" t="n"/>
      <c r="E1" s="2" t="n"/>
      <c r="F1" s="2" t="n"/>
      <c r="G1" s="2" t="n"/>
      <c r="H1" s="2" t="n"/>
    </row>
    <row r="2" ht="16" customHeight="1">
      <c r="A2" s="2" t="n"/>
      <c r="B2" s="2" t="n"/>
      <c r="C2" s="2" t="n"/>
      <c r="D2" s="2" t="n"/>
      <c r="E2" s="2" t="n"/>
      <c r="F2" s="2" t="n"/>
      <c r="G2" s="2" t="n"/>
      <c r="H2" s="2" t="n"/>
    </row>
    <row r="3" ht="15" customHeight="1">
      <c r="A3" s="3" t="inlineStr">
        <is>
          <t>1407 N 6th St, Coeur d'Alene, ID 83814  •  Roofr report 10769087  •  REV C  •  prepared 2026-07-28  •  panels on the 46-strip layout (field-verified), trim on the site-inspection edges</t>
        </is>
      </c>
    </row>
    <row r="5">
      <c r="A5" s="4" t="inlineStr">
        <is>
          <t>ORDER STATUS</t>
        </is>
      </c>
      <c r="B5" s="5" t="inlineStr">
        <is>
          <t>PREPARED — NOT TRANSMITTED</t>
        </is>
      </c>
    </row>
    <row r="7" ht="20" customHeight="1">
      <c r="A7" s="6" t="inlineStr">
        <is>
          <t>FABRICATION INPUTS — edit here; every sheet recomputes</t>
        </is>
      </c>
    </row>
    <row r="8" ht="28" customHeight="1">
      <c r="A8" s="7" t="inlineStr">
        <is>
          <t>Input</t>
        </is>
      </c>
      <c r="B8" s="7" t="inlineStr">
        <is>
          <t>Value</t>
        </is>
      </c>
      <c r="C8" s="7" t="inlineStr">
        <is>
          <t>Unit</t>
        </is>
      </c>
      <c r="D8" s="7" t="inlineStr"/>
      <c r="E8" s="7" t="inlineStr"/>
      <c r="F8" s="7" t="inlineStr"/>
      <c r="G8" s="7" t="inlineStr"/>
      <c r="H8" s="7" t="inlineStr">
        <is>
          <t>Basis / control</t>
        </is>
      </c>
    </row>
    <row r="9">
      <c r="A9" s="8" t="inlineStr">
        <is>
          <t>Panel net coverage</t>
        </is>
      </c>
      <c r="B9" s="9" t="n">
        <v>36</v>
      </c>
      <c r="C9" s="10" t="inlineStr">
        <is>
          <t>in</t>
        </is>
      </c>
      <c r="H9" s="11" t="inlineStr">
        <is>
          <t>PBR net coverage per panel. Supplier-confirm.</t>
        </is>
      </c>
    </row>
    <row r="10">
      <c r="A10" s="8" t="inlineStr">
        <is>
          <t>Supplier minimum cut length</t>
        </is>
      </c>
      <c r="B10" s="9" t="n">
        <v>36</v>
      </c>
      <c r="C10" s="10" t="inlineStr">
        <is>
          <t>in</t>
        </is>
      </c>
      <c r="H10" s="11" t="inlineStr">
        <is>
          <t>Ibex stated minimum. Does not bind on this job — shortest run is 37 in.</t>
        </is>
      </c>
    </row>
    <row r="11">
      <c r="A11" s="8" t="inlineStr">
        <is>
          <t>Eave projection</t>
        </is>
      </c>
      <c r="B11" s="9" t="n">
        <v>6</v>
      </c>
      <c r="C11" s="10" t="inlineStr">
        <is>
          <t>in</t>
        </is>
      </c>
      <c r="H11" s="11" t="inlineStr">
        <is>
          <t>Design intent from Collins proposal v21. Added only to eave-terminated panels.</t>
        </is>
      </c>
    </row>
    <row r="12">
      <c r="A12" s="8" t="inlineStr">
        <is>
          <t>Field-verification allowance</t>
        </is>
      </c>
      <c r="B12" s="9" t="n">
        <v>0</v>
      </c>
      <c r="C12" s="10" t="inlineStr">
        <is>
          <t>in</t>
        </is>
      </c>
      <c r="H12" s="11" t="inlineStr">
        <is>
          <t>Per-panel length allowance. 0 = exact-measured basis (main runs tape-verified 2026-07-24). Factory edge sets at the eave; any excess trims at the panel top under trim, so the ordered direction is the safe direction.</t>
        </is>
      </c>
    </row>
    <row r="13">
      <c r="A13" s="8" t="inlineStr">
        <is>
          <t>Rip threshold</t>
        </is>
      </c>
      <c r="B13" s="9" t="n">
        <v>24</v>
      </c>
      <c r="C13" s="10" t="inlineStr">
        <is>
          <t>in</t>
        </is>
      </c>
      <c r="H13" s="11" t="inlineStr">
        <is>
          <t>A facet narrower than this cannot be a full-width blank and is ripped.</t>
        </is>
      </c>
    </row>
    <row r="14">
      <c r="A14" s="8" t="inlineStr">
        <is>
          <t>Trim stock length</t>
        </is>
      </c>
      <c r="B14" s="9" t="n">
        <v>10</v>
      </c>
      <c r="C14" s="10" t="inlineStr">
        <is>
          <t>ft</t>
        </is>
      </c>
      <c r="H14" s="11" t="inlineStr">
        <is>
          <t>Standard stock piece.</t>
        </is>
      </c>
    </row>
    <row r="15">
      <c r="A15" s="8" t="inlineStr">
        <is>
          <t>Trim waste allowance</t>
        </is>
      </c>
      <c r="B15" s="12" t="n">
        <v>0</v>
      </c>
      <c r="C15" s="10" t="inlineStr">
        <is>
          <t>%</t>
        </is>
      </c>
      <c r="H15" s="11" t="inlineStr">
        <is>
          <t>Applied before piece rounding.</t>
        </is>
      </c>
    </row>
    <row r="16">
      <c r="A16" s="8" t="inlineStr">
        <is>
          <t>Fastener row spacing</t>
        </is>
      </c>
      <c r="B16" s="9" t="n">
        <v>24</v>
      </c>
      <c r="C16" s="10" t="inlineStr">
        <is>
          <t>in o.c.</t>
        </is>
      </c>
      <c r="H16" s="11" t="inlineStr">
        <is>
          <t>Down-slope row spacing over solid deck. Ibex publishes none in print; spec lands with the order acknowledgment (A2). Quantity has headroom to a 16 in o.c. pattern.</t>
        </is>
      </c>
    </row>
    <row r="17">
      <c r="A17" s="8" t="inlineStr">
        <is>
          <t>Screws per row per panel</t>
        </is>
      </c>
      <c r="B17" s="9" t="n">
        <v>4</v>
      </c>
      <c r="C17" s="10" t="inlineStr">
        <is>
          <t>ea</t>
        </is>
      </c>
      <c r="H17" s="11" t="inlineStr">
        <is>
          <t>Three in the flats plus one at the side lap.</t>
        </is>
      </c>
    </row>
    <row r="18">
      <c r="A18" s="8" t="inlineStr">
        <is>
          <t>Stitch screw spacing</t>
        </is>
      </c>
      <c r="B18" s="9" t="n">
        <v>12</v>
      </c>
      <c r="C18" s="10" t="inlineStr">
        <is>
          <t>in o.c.</t>
        </is>
      </c>
      <c r="H18" s="11" t="inlineStr">
        <is>
          <t>Side and trim laps. Metal Sales and Homewood both publish 12 in; Ibex publishes none.</t>
        </is>
      </c>
    </row>
    <row r="19">
      <c r="A19" s="8" t="inlineStr">
        <is>
          <t>Fastener waste allowance</t>
        </is>
      </c>
      <c r="B19" s="12" t="n">
        <v>0.1</v>
      </c>
      <c r="C19" s="10" t="inlineStr">
        <is>
          <t>%</t>
        </is>
      </c>
      <c r="H19" s="11" t="inlineStr">
        <is>
          <t>Before rounding to 50.</t>
        </is>
      </c>
    </row>
    <row r="21" ht="20" customHeight="1">
      <c r="A21" s="6" t="inlineStr">
        <is>
          <t>ORDER CONTROL CHECKLIST — complete; evidence on every line</t>
        </is>
      </c>
    </row>
    <row r="22" ht="28" customHeight="1">
      <c r="A22" s="7" t="inlineStr">
        <is>
          <t>Item</t>
        </is>
      </c>
      <c r="B22" s="7" t="inlineStr">
        <is>
          <t>Status</t>
        </is>
      </c>
      <c r="C22" s="7" t="inlineStr"/>
      <c r="D22" s="7" t="inlineStr"/>
      <c r="E22" s="7" t="inlineStr"/>
      <c r="F22" s="7" t="inlineStr"/>
      <c r="G22" s="7" t="inlineStr"/>
      <c r="H22" s="7" t="inlineStr">
        <is>
          <t>Evidence</t>
        </is>
      </c>
    </row>
    <row r="23" ht="34" customHeight="1">
      <c r="A23" s="8" t="inlineStr">
        <is>
          <t>OC-1  Geometry basis</t>
        </is>
      </c>
      <c r="B23" s="13" t="inlineStr">
        <is>
          <t>DONE</t>
        </is>
      </c>
      <c r="C23" s="14" t="n"/>
      <c r="H23" s="11" t="inlineStr">
        <is>
          <t>One roof, two drawings, resolved: the 46-strip layout governs panels (main runs field-verified 2026-07-24 to within half an inch), the site-inspection report governs trim (it passes the perimeter test the strip drawing fails by 25.8 ft).</t>
        </is>
      </c>
    </row>
    <row r="24" ht="34" customHeight="1">
      <c r="A24" s="8" t="inlineStr">
        <is>
          <t>OC-2  Panel schedule</t>
        </is>
      </c>
      <c r="B24" s="13" t="inlineStr">
        <is>
          <t>DONE</t>
        </is>
      </c>
      <c r="C24" s="14" t="n"/>
      <c r="H24" s="11" t="inlineStr">
        <is>
          <t>46 panels, 46 blanks, 14 cut lengths, 551.00 LF. One fabrication run per section; whole-inch round-up; the 6-in projection on every panel that meets the eave or the pitch-break lap — including the four edge strips (C-17); factory edge at every eave; slop trims at the panel top under trim.</t>
        </is>
      </c>
    </row>
    <row r="25" ht="34" customHeight="1">
      <c r="A25" s="8" t="inlineStr">
        <is>
          <t>OC-3  Blanks &amp; rips decided</t>
        </is>
      </c>
      <c r="B25" s="13" t="inlineStr">
        <is>
          <t>DONE</t>
        </is>
      </c>
      <c r="C25" s="14" t="n"/>
      <c r="H25" s="11" t="inlineStr">
        <is>
          <t>Decision recorded 2026-07-28: order 46 full-width blanks, no spares. H01, H11, I01, I11 are lengthwise FIELD RIPS, cut edge buried under rake trim. No crosswise field cuts anywhere on the job.</t>
        </is>
      </c>
    </row>
    <row r="26" ht="34" customHeight="1">
      <c r="A26" s="8" t="inlineStr">
        <is>
          <t>OC-4  Layout confirmed</t>
        </is>
      </c>
      <c r="B26" s="13" t="inlineStr">
        <is>
          <t>DONE</t>
        </is>
      </c>
      <c r="C26" s="14" t="n"/>
      <c r="H26" s="11" t="inlineStr">
        <is>
          <t>The as-drawn layout is the layout: remainder split at both rakes on the porch roof and upper face, 26-in closer on the main slopes. Panel-to-blank map is 1:1.</t>
        </is>
      </c>
    </row>
    <row r="27" ht="34" customHeight="1">
      <c r="A27" s="8" t="inlineStr">
        <is>
          <t>OC-5  Eave &amp; gable projection</t>
        </is>
      </c>
      <c r="B27" s="13" t="inlineStr">
        <is>
          <t>DONE</t>
        </is>
      </c>
      <c r="C27" s="14" t="n"/>
      <c r="H27" s="11" t="inlineStr">
        <is>
          <t>6-in projection is CONTRACT scope (signed proposal, included in base price), carried on 32 eave-flagged panels and at the main gables via the Approach B bearing shelf. KR-COL-ED-01 Rev B supports it.</t>
        </is>
      </c>
    </row>
    <row r="28" ht="34" customHeight="1">
      <c r="A28" s="8" t="inlineStr">
        <is>
          <t>OC-6  Trim &amp; accessories</t>
        </is>
      </c>
      <c r="B28" s="13" t="inlineStr">
        <is>
          <t>DONE</t>
        </is>
      </c>
      <c r="C28" s="14" t="n"/>
      <c r="H28" s="11" t="inlineStr">
        <is>
          <t>Every quantity is a published per-run formula on the site-verified edge basis: 46 sticks across 8 families, closures per Ibex's own details, fasteners at the documented pattern with headroom to 16 in o.c.</t>
        </is>
      </c>
    </row>
    <row r="29" ht="34" customHeight="1">
      <c r="A29" s="8" t="inlineStr">
        <is>
          <t>OC-7  Color</t>
        </is>
      </c>
      <c r="B29" s="13" t="inlineStr">
        <is>
          <t>DONE — SELECTION RECORDED</t>
        </is>
      </c>
      <c r="C29" s="14" t="n"/>
      <c r="H29" s="11" t="inlineStr">
        <is>
          <t>Medium Bronze 24 ga PVDF on the order (closest PVDF match to Kevin's Weathered Copper reference; his own text: color not final until the boss approves). Chip ships with the acknowledgment; customer signs the chip before the coil run. The two alternate routes stay printed on the color page.</t>
        </is>
      </c>
    </row>
    <row r="30" ht="34" customHeight="1">
      <c r="A30" s="8" t="inlineStr">
        <is>
          <t>OC-8  Contract &amp; money</t>
        </is>
      </c>
      <c r="B30" s="13" t="inlineStr">
        <is>
          <t>DONE</t>
        </is>
      </c>
      <c r="C30" s="14" t="n"/>
      <c r="H30" s="11" t="inlineStr">
        <is>
          <t>Signed: $38,200, 24 ga Ibex option, phased 10/45/45 ($3,820 paid / $17,190 / $17,190). Pre-approved change rates on file. Budget and job-costing sheets carry the allocation.</t>
        </is>
      </c>
    </row>
    <row r="31" ht="34" customHeight="1">
      <c r="A31" s="8" t="inlineStr">
        <is>
          <t>OC-9  Field rules &amp; sequence</t>
        </is>
      </c>
      <c r="B31" s="13" t="inlineStr">
        <is>
          <t>DONE</t>
        </is>
      </c>
      <c r="C31" s="14" t="n"/>
      <c r="H31" s="11" t="inlineStr">
        <is>
          <t>Cutting, lap-hand, starting-rake, valley, swarf and marking rules printed as field cards; install sequence and staging in the production plan.</t>
        </is>
      </c>
    </row>
    <row r="32" ht="34" customHeight="1">
      <c r="A32" s="8" t="inlineStr">
        <is>
          <t>OC-10  Verification</t>
        </is>
      </c>
      <c r="B32" s="13" t="inlineStr">
        <is>
          <t>DONE</t>
        </is>
      </c>
      <c r="C32" s="14" t="n"/>
      <c r="H32" s="11" t="inlineStr">
        <is>
          <t>Workbook evaluated with an independent formula engine (zero errors, all figures reconcile); every packet page rendered and visually inspected; print-safety QA green. Evidence in the QA contact sheet.</t>
        </is>
      </c>
    </row>
    <row r="34" ht="20" customHeight="1">
      <c r="A34" s="6" t="inlineStr">
        <is>
          <t>SUPPLIER CONFIRMATIONS — printed on the order form; answered with the Ibex order acknowledgment</t>
        </is>
      </c>
    </row>
    <row r="35" ht="28" customHeight="1">
      <c r="A35" s="7" t="inlineStr">
        <is>
          <t>Ref</t>
        </is>
      </c>
      <c r="B35" s="7" t="inlineStr">
        <is>
          <t>Subject</t>
        </is>
      </c>
      <c r="C35" s="7" t="inlineStr"/>
      <c r="D35" s="7" t="inlineStr"/>
      <c r="E35" s="7" t="inlineStr"/>
      <c r="F35" s="7" t="inlineStr"/>
      <c r="G35" s="7" t="inlineStr"/>
      <c r="H35" s="7" t="inlineStr">
        <is>
          <t>Instruction to supplier</t>
        </is>
      </c>
    </row>
    <row r="36" ht="34" customHeight="1">
      <c r="A36" s="15" t="inlineStr">
        <is>
          <t>A1</t>
        </is>
      </c>
      <c r="B36" s="8" t="inlineStr">
        <is>
          <t>Coil &amp; color</t>
        </is>
      </c>
      <c r="H36" s="11" t="inlineStr">
        <is>
          <t>Confirm 24 ga PVDF PBR in Medium Bronze is a produced combination, with steel grade (50 vs 80) and lead time. Ship one physical 24 ga chip with the acknowledgment for customer sign-off before the coil run.</t>
        </is>
      </c>
    </row>
    <row r="37" ht="34" customHeight="1">
      <c r="A37" s="15" t="inlineStr">
        <is>
          <t>A2</t>
        </is>
      </c>
      <c r="B37" s="8" t="inlineStr">
        <is>
          <t>Fastening spec</t>
        </is>
      </c>
      <c r="H37" s="11" t="inlineStr">
        <is>
          <t>Provide in writing: fastener row spacing for a solid deck at Coeur d'Alene design loads, screw type/gauge/length, minimum embedment, and the panel base metal (Galvalume vs G90) for fastener compatibility. Quantities on this order are computed at 24 in o.c. rows + doubled eave/ridge rows and are sufficient for any published pattern down to 16 in o.c.</t>
        </is>
      </c>
    </row>
    <row r="38" ht="34" customHeight="1">
      <c r="A38" s="15" t="inlineStr">
        <is>
          <t>A3</t>
        </is>
      </c>
      <c r="B38" s="8" t="inlineStr">
        <is>
          <t>Single-piece lengths</t>
        </is>
      </c>
      <c r="H38" s="11" t="inlineStr">
        <is>
          <t>Confirm the longest blank on this order (17'-07") ships as one piece. No endlaps are planned on this roof.</t>
        </is>
      </c>
    </row>
    <row r="39" ht="34" customHeight="1">
      <c r="A39" s="15" t="inlineStr">
        <is>
          <t>A4</t>
        </is>
      </c>
      <c r="B39" s="8" t="inlineStr">
        <is>
          <t>Rib height</t>
        </is>
      </c>
      <c r="H39" s="11" t="inlineStr">
        <is>
          <t>Confirm PBR rib height as produced (spec sheet says 1-3/16 in, catalog says 1-1/4 in) so closures and trim fit as ordered.</t>
        </is>
      </c>
    </row>
    <row r="40" ht="34" customHeight="1">
      <c r="A40" s="15" t="inlineStr">
        <is>
          <t>A5</t>
        </is>
      </c>
      <c r="B40" s="8" t="inlineStr">
        <is>
          <t>Drip-edge blank</t>
        </is>
      </c>
      <c r="H40" s="11" t="inlineStr">
        <is>
          <t>KR-COL-ED-01 Rev B girth sums to 10-1/4 in. If a 10 in stock slit width is preferred, reduce the face from 3-1/4 in to 3 in and note it on the acknowledgment — either is accepted. Confirm max hemmed piece length ≥ 10 ft.</t>
        </is>
      </c>
    </row>
    <row r="41" ht="34" customHeight="1">
      <c r="A41" s="15" t="inlineStr">
        <is>
          <t>A6</t>
        </is>
      </c>
      <c r="B41" s="8" t="inlineStr">
        <is>
          <t>Pitch-break angle</t>
        </is>
      </c>
      <c r="H41" s="11" t="inlineStr">
        <is>
          <t>Form the 04B Jumbo Pitch Break for a 4/12 lower / 11/12 upper transition (included angle ≈ 156°). Ketron will supply a field template with the Phase-2 confirmation call before forming.</t>
        </is>
      </c>
    </row>
    <row r="42" ht="34" customHeight="1">
      <c r="A42" s="15" t="inlineStr">
        <is>
          <t>A7</t>
        </is>
      </c>
      <c r="B42" s="8" t="inlineStr">
        <is>
          <t>Vented ridge NFA</t>
        </is>
      </c>
      <c r="H42" s="11" t="inlineStr">
        <is>
          <t>State the net free area of the supplied ridge vent material so intake balance can be documented at install.</t>
        </is>
      </c>
    </row>
    <row r="44" ht="20" customHeight="1">
      <c r="A44" s="6" t="inlineStr">
        <is>
          <t>PARTIES</t>
        </is>
      </c>
    </row>
    <row r="45">
      <c r="A45" s="10" t="inlineStr">
        <is>
          <t>Supplier</t>
        </is>
      </c>
      <c r="B45" s="8" t="inlineStr">
        <is>
          <t>Ibex Metal</t>
        </is>
      </c>
      <c r="D45" s="10" t="inlineStr">
        <is>
          <t>Address</t>
        </is>
      </c>
      <c r="E45" s="8" t="inlineStr">
        <is>
          <t>280 Great Northern Rd, Bonners Ferry, ID 83805</t>
        </is>
      </c>
    </row>
    <row r="46">
      <c r="A46" s="10" t="inlineStr">
        <is>
          <t>Supplier email</t>
        </is>
      </c>
      <c r="B46" s="8" t="inlineStr">
        <is>
          <t>info@ibexmetal.com</t>
        </is>
      </c>
      <c r="D46" s="10" t="inlineStr">
        <is>
          <t>Supplier phone</t>
        </is>
      </c>
      <c r="E46" s="8" t="inlineStr">
        <is>
          <t>(208) 565-3002</t>
        </is>
      </c>
    </row>
    <row r="47">
      <c r="A47" s="10" t="inlineStr">
        <is>
          <t>Contractor</t>
        </is>
      </c>
      <c r="B47" s="8" t="inlineStr">
        <is>
          <t>Ketron Roofing</t>
        </is>
      </c>
      <c r="D47" s="10" t="inlineStr">
        <is>
          <t>Contact</t>
        </is>
      </c>
      <c r="E47" s="8" t="inlineStr">
        <is>
          <t>Mitch Ketron</t>
        </is>
      </c>
    </row>
    <row r="48">
      <c r="A48" s="10" t="inlineStr">
        <is>
          <t>Contact email</t>
        </is>
      </c>
      <c r="B48" s="8" t="inlineStr">
        <is>
          <t>mitch@ketronroofing.com</t>
        </is>
      </c>
      <c r="D48" s="10" t="inlineStr">
        <is>
          <t>Contact phone</t>
        </is>
      </c>
      <c r="E48" s="8" t="inlineStr">
        <is>
          <t>(208) 487-6638</t>
        </is>
      </c>
    </row>
    <row r="49">
      <c r="A49" s="10" t="inlineStr">
        <is>
          <t>Customer</t>
        </is>
      </c>
      <c r="B49" s="8" t="inlineStr">
        <is>
          <t>Kevin Collins</t>
        </is>
      </c>
      <c r="D49" s="10" t="inlineStr">
        <is>
          <t>Project address</t>
        </is>
      </c>
      <c r="E49" s="8" t="inlineStr">
        <is>
          <t>1407 N 6th St, Coeur d'Alene, ID 83814</t>
        </is>
      </c>
    </row>
    <row r="50">
      <c r="A50" s="10" t="inlineStr">
        <is>
          <t>Roofr report</t>
        </is>
      </c>
      <c r="B50" s="8" t="inlineStr">
        <is>
          <t>10769087</t>
        </is>
      </c>
      <c r="D50" s="10" t="inlineStr">
        <is>
          <t>Source captured</t>
        </is>
      </c>
      <c r="E50" s="8" t="inlineStr">
        <is>
          <t>2026-07-16</t>
        </is>
      </c>
    </row>
    <row r="51">
      <c r="A51" s="10" t="inlineStr">
        <is>
          <t>Drawing reference</t>
        </is>
      </c>
      <c r="B51" s="8" t="inlineStr">
        <is>
          <t>KR-COL-ED-01 Rev B</t>
        </is>
      </c>
      <c r="D51" s="10" t="inlineStr">
        <is>
          <t>Revision</t>
        </is>
      </c>
      <c r="E51" s="8" t="inlineStr">
        <is>
          <t>REV C</t>
        </is>
      </c>
    </row>
  </sheetData>
  <mergeCells count="59">
    <mergeCell ref="D18:G18"/>
    <mergeCell ref="E45:H45"/>
    <mergeCell ref="B47:C47"/>
    <mergeCell ref="D9:G9"/>
    <mergeCell ref="B39:G39"/>
    <mergeCell ref="B42:G42"/>
    <mergeCell ref="B25:C25"/>
    <mergeCell ref="D12:G12"/>
    <mergeCell ref="D25:G25"/>
    <mergeCell ref="B46:C46"/>
    <mergeCell ref="D24:G24"/>
    <mergeCell ref="D30:G30"/>
    <mergeCell ref="D15:G15"/>
    <mergeCell ref="B31:C31"/>
    <mergeCell ref="D29:G29"/>
    <mergeCell ref="B27:C27"/>
    <mergeCell ref="B5:H5"/>
    <mergeCell ref="D14:G14"/>
    <mergeCell ref="B38:G38"/>
    <mergeCell ref="D23:G23"/>
    <mergeCell ref="B48:C48"/>
    <mergeCell ref="D26:G26"/>
    <mergeCell ref="A7:H7"/>
    <mergeCell ref="B37:G37"/>
    <mergeCell ref="E47:H47"/>
    <mergeCell ref="E50:H50"/>
    <mergeCell ref="B23:C23"/>
    <mergeCell ref="B40:G40"/>
    <mergeCell ref="D19:G19"/>
    <mergeCell ref="D10:G10"/>
    <mergeCell ref="A3:H3"/>
    <mergeCell ref="A21:H21"/>
    <mergeCell ref="D31:G31"/>
    <mergeCell ref="B29:C29"/>
    <mergeCell ref="E48:H48"/>
    <mergeCell ref="B36:G36"/>
    <mergeCell ref="B41:G41"/>
    <mergeCell ref="B28:C28"/>
    <mergeCell ref="E51:H51"/>
    <mergeCell ref="D11:G11"/>
    <mergeCell ref="D13:G13"/>
    <mergeCell ref="D27:G27"/>
    <mergeCell ref="A1:H2"/>
    <mergeCell ref="B49:C49"/>
    <mergeCell ref="D32:G32"/>
    <mergeCell ref="B24:C24"/>
    <mergeCell ref="B30:C30"/>
    <mergeCell ref="D17:G17"/>
    <mergeCell ref="B51:C51"/>
    <mergeCell ref="D16:G16"/>
    <mergeCell ref="B45:C45"/>
    <mergeCell ref="E46:H46"/>
    <mergeCell ref="B32:C32"/>
    <mergeCell ref="A44:H44"/>
    <mergeCell ref="B50:C50"/>
    <mergeCell ref="B26:C26"/>
    <mergeCell ref="E49:H49"/>
    <mergeCell ref="D28:G28"/>
    <mergeCell ref="A34:H34"/>
  </mergeCells>
  <printOptions horizontalCentered="1"/>
  <pageMargins left="0.35" right="0.35" top="0.45" bottom="0.45" header="0.5" footer="0.5"/>
  <pageSetup orientation="landscape" paperSize="1" fitToHeight="0" fitToWidth="1"/>
</worksheet>
</file>

<file path=xl/worksheets/sheet10.xml><?xml version="1.0" encoding="utf-8"?>
<worksheet xmlns="http://schemas.openxmlformats.org/spreadsheetml/2006/main">
  <sheetPr>
    <outlinePr summaryBelow="1" summaryRight="1"/>
    <pageSetUpPr fitToPage="1"/>
  </sheetPr>
  <dimension ref="A1:F26"/>
  <sheetViews>
    <sheetView workbookViewId="0">
      <selection activeCell="A1" sqref="A1"/>
    </sheetView>
  </sheetViews>
  <sheetFormatPr baseColWidth="8" defaultRowHeight="15"/>
  <cols>
    <col width="56" customWidth="1" min="1" max="1"/>
    <col width="16" customWidth="1" min="2" max="2"/>
    <col width="6" customWidth="1" min="3" max="3"/>
    <col width="40" customWidth="1" min="4" max="4"/>
    <col width="16" customWidth="1" min="5" max="5"/>
    <col width="30" customWidth="1" min="6" max="6"/>
  </cols>
  <sheetData>
    <row r="1" ht="24" customHeight="1">
      <c r="A1" s="1" t="inlineStr">
        <is>
          <t>COLLINS — CONTRACT &amp; PAYMENTS</t>
        </is>
      </c>
      <c r="B1" s="2" t="n"/>
      <c r="C1" s="2" t="n"/>
      <c r="D1" s="2" t="n"/>
      <c r="E1" s="2" t="n"/>
      <c r="F1" s="2" t="n"/>
    </row>
    <row r="2" ht="16" customHeight="1">
      <c r="A2" s="2" t="n"/>
      <c r="B2" s="2" t="n"/>
      <c r="C2" s="2" t="n"/>
      <c r="D2" s="2" t="n"/>
      <c r="E2" s="2" t="n"/>
      <c r="F2" s="2" t="n"/>
    </row>
    <row r="3" ht="15" customHeight="1">
      <c r="A3" s="3" t="inlineStr">
        <is>
          <t>Signed 2026-05-28 • Collins-ReRoof-Proposal_v21 (2026-04-20) • 24-gauge option selected in the customer's words 2026-04-20: "We for sure will be using the thicker metal."</t>
        </is>
      </c>
    </row>
    <row r="5" ht="20" customHeight="1">
      <c r="A5" s="6" t="inlineStr">
        <is>
          <t>CONTRACT VALUE &amp; PAYMENT SCHEDULE</t>
        </is>
      </c>
    </row>
    <row r="6" ht="28" customHeight="1">
      <c r="A6" s="7" t="inlineStr">
        <is>
          <t>Line</t>
        </is>
      </c>
      <c r="B6" s="7" t="inlineStr">
        <is>
          <t>Amount</t>
        </is>
      </c>
      <c r="C6" s="7" t="inlineStr"/>
      <c r="D6" s="7" t="inlineStr">
        <is>
          <t>Payment milestone</t>
        </is>
      </c>
      <c r="E6" s="7" t="inlineStr">
        <is>
          <t>Amount</t>
        </is>
      </c>
      <c r="F6" s="7" t="inlineStr">
        <is>
          <t>Status</t>
        </is>
      </c>
    </row>
    <row r="7">
      <c r="A7" s="24" t="inlineStr">
        <is>
          <t>CONTRACT TOTAL — Ibex PBR 24 ga PVDF</t>
        </is>
      </c>
      <c r="B7" s="79" t="n">
        <v>38200</v>
      </c>
      <c r="D7" s="16" t="inlineStr">
        <is>
          <t>Deposit (10%) — PAID</t>
        </is>
      </c>
      <c r="E7" s="80" t="n">
        <v>3820</v>
      </c>
      <c r="F7" s="19" t="inlineStr">
        <is>
          <t>PAID — cleared customer side ~2026-06-07</t>
        </is>
      </c>
    </row>
    <row r="8">
      <c r="A8" s="24" t="inlineStr"/>
      <c r="B8" s="23" t="n"/>
      <c r="D8" s="16" t="inlineStr">
        <is>
          <t>Phase 1 complete (45%)</t>
        </is>
      </c>
      <c r="E8" s="80" t="n">
        <v>17190</v>
      </c>
      <c r="F8" s="19" t="inlineStr">
        <is>
          <t>Due at Phase 1 complete</t>
        </is>
      </c>
    </row>
    <row r="9">
      <c r="A9" s="24" t="inlineStr"/>
      <c r="B9" s="23" t="n"/>
      <c r="D9" s="16" t="inlineStr">
        <is>
          <t>Phase 2 complete (45%)</t>
        </is>
      </c>
      <c r="E9" s="80" t="n">
        <v>17190</v>
      </c>
      <c r="F9" s="19" t="inlineStr">
        <is>
          <t>Due at Phase 2 complete — not until 100% satisfied</t>
        </is>
      </c>
    </row>
    <row r="10">
      <c r="D10" s="10" t="inlineStr">
        <is>
          <t>Schedule check</t>
        </is>
      </c>
      <c r="E10" s="81">
        <f>SUM(E7:E9)</f>
        <v/>
      </c>
      <c r="F10" s="15">
        <f>IF(E10=B7,"= contract total PASS","CHECK")</f>
        <v/>
      </c>
    </row>
    <row r="12" ht="20" customHeight="1">
      <c r="A12" s="6" t="inlineStr">
        <is>
          <t>CONTRACT LINE ITEMS (customer-facing allocation)</t>
        </is>
      </c>
    </row>
    <row r="13" ht="28" customHeight="1">
      <c r="A13" s="7" t="inlineStr">
        <is>
          <t>Phase 1 — tear-off, deck, dry-in</t>
        </is>
      </c>
      <c r="B13" s="7" t="inlineStr">
        <is>
          <t>Amount</t>
        </is>
      </c>
      <c r="C13" s="7" t="inlineStr"/>
      <c r="D13" s="7" t="inlineStr">
        <is>
          <t>Phase 2 — metal</t>
        </is>
      </c>
      <c r="E13" s="7" t="inlineStr">
        <is>
          <t>Amount</t>
        </is>
      </c>
      <c r="F13" s="7" t="inlineStr"/>
    </row>
    <row r="14">
      <c r="A14" s="16" t="inlineStr">
        <is>
          <t>Tear-off and disposal (3+ layers, main house)</t>
        </is>
      </c>
      <c r="B14" s="82" t="n">
        <v>3474</v>
      </c>
      <c r="D14" s="16" t="inlineStr">
        <is>
          <t>PBR panels, 36" coverage — Ibex 24 ga</t>
        </is>
      </c>
      <c r="E14" s="82" t="n">
        <v>17265</v>
      </c>
    </row>
    <row r="15">
      <c r="A15" s="16" t="inlineStr">
        <is>
          <t>Re-deck: 1/2" 5-ply structural plywood</t>
        </is>
      </c>
      <c r="B15" s="82" t="n">
        <v>4609</v>
      </c>
      <c r="D15" s="16" t="inlineStr">
        <is>
          <t>Trim: ridge, W-valleys, eave, drip, gable, rat guard, transitions</t>
        </is>
      </c>
      <c r="E15" s="82" t="n">
        <v>4550</v>
      </c>
    </row>
    <row r="16">
      <c r="A16" s="16" t="inlineStr">
        <is>
          <t>Malarkey 401 SA ice &amp; water shield, full deck</t>
        </is>
      </c>
      <c r="B16" s="82" t="n">
        <v>2993</v>
      </c>
      <c r="D16" s="16" t="inlineStr">
        <is>
          <t>Ice &amp; water shield, patio deck (owner sheeting)</t>
        </is>
      </c>
      <c r="E16" s="82" t="n">
        <v>534</v>
      </c>
    </row>
    <row r="17">
      <c r="A17" s="16" t="inlineStr">
        <is>
          <t>Chimney opening: frame, deck, weatherproof</t>
        </is>
      </c>
      <c r="B17" s="82" t="n">
        <v>903</v>
      </c>
      <c r="D17" s="16" t="inlineStr">
        <is>
          <t>Permit, delivery, cleanup, magnetic sweep</t>
        </is>
      </c>
      <c r="E17" s="82" t="n">
        <v>2267</v>
      </c>
    </row>
    <row r="18">
      <c r="A18" s="16" t="inlineStr">
        <is>
          <t>Dumpster and site protection</t>
        </is>
      </c>
      <c r="B18" s="82" t="n">
        <v>835</v>
      </c>
      <c r="D18" s="16" t="inlineStr">
        <is>
          <t>Eave extension: custom oversized drip edge (6-in overhang)</t>
        </is>
      </c>
      <c r="E18" s="82" t="n">
        <v>770</v>
      </c>
    </row>
    <row r="19">
      <c r="A19" s="47" t="inlineStr">
        <is>
          <t>PHASE 1 SUBTOTAL</t>
        </is>
      </c>
      <c r="B19" s="83">
        <f>SUM(B14:B18)</f>
        <v/>
      </c>
      <c r="D19" s="47" t="inlineStr">
        <is>
          <t>PHASE 2 SUBTOTAL</t>
        </is>
      </c>
      <c r="E19" s="83">
        <f>SUM(E14:E18)</f>
        <v/>
      </c>
      <c r="F19" s="47">
        <f>IF(B19+E19=B7,"sums to contract PASS","CHECK")</f>
        <v/>
      </c>
    </row>
    <row r="21" ht="20" customHeight="1">
      <c r="A21" s="6" t="inlineStr">
        <is>
          <t>PRE-APPROVED CHANGE RATES &amp; OWNER SCOPE</t>
        </is>
      </c>
    </row>
    <row r="22">
      <c r="A22" s="8" t="inlineStr">
        <is>
          <t>Additional plywood replacement</t>
        </is>
      </c>
      <c r="B22" s="15" t="inlineStr">
        <is>
          <t>$225 / 4x8 sheet</t>
        </is>
      </c>
    </row>
    <row r="23">
      <c r="A23" s="8" t="inlineStr">
        <is>
          <t>Additional layer removal</t>
        </is>
      </c>
      <c r="B23" s="15" t="inlineStr">
        <is>
          <t>$185 / square</t>
        </is>
      </c>
    </row>
    <row r="24">
      <c r="A24" s="8" t="inlineStr">
        <is>
          <t>Fascia repair</t>
        </is>
      </c>
      <c r="B24" s="15" t="inlineStr">
        <is>
          <t>$15–25 / LF</t>
        </is>
      </c>
    </row>
    <row r="25">
      <c r="A25" s="8" t="inlineStr">
        <is>
          <t>Approach A upgrade (sistered rafter tails), if tear-off finds bad tails</t>
        </is>
      </c>
      <c r="B25" s="15" t="inlineStr">
        <is>
          <t>+$3,086</t>
        </is>
      </c>
    </row>
    <row r="26">
      <c r="A26" s="8" t="inlineStr">
        <is>
          <t>Owner scope between phases</t>
        </is>
      </c>
      <c r="B26" s="10" t="inlineStr">
        <is>
          <t>Patio framing, structure and sheeting between phases; chimney demo below deck.</t>
        </is>
      </c>
    </row>
  </sheetData>
  <mergeCells count="6">
    <mergeCell ref="A5:F5"/>
    <mergeCell ref="A1:F2"/>
    <mergeCell ref="A12:F12"/>
    <mergeCell ref="A3:F3"/>
    <mergeCell ref="A21:F21"/>
    <mergeCell ref="B26:F26"/>
  </mergeCells>
  <printOptions horizontalCentered="1"/>
  <pageMargins left="0.35" right="0.35" top="0.45" bottom="0.45" header="0.5" footer="0.5"/>
  <pageSetup orientation="landscape" paperSize="1" fitToHeight="0" fitToWidth="1"/>
</worksheet>
</file>

<file path=xl/worksheets/sheet11.xml><?xml version="1.0" encoding="utf-8"?>
<worksheet xmlns="http://schemas.openxmlformats.org/spreadsheetml/2006/main">
  <sheetPr>
    <outlinePr summaryBelow="1" summaryRight="1"/>
    <pageSetUpPr fitToPage="1"/>
  </sheetPr>
  <dimension ref="A1:F38"/>
  <sheetViews>
    <sheetView workbookViewId="0">
      <selection activeCell="A1" sqref="A1"/>
    </sheetView>
  </sheetViews>
  <sheetFormatPr baseColWidth="8" defaultRowHeight="15"/>
  <cols>
    <col width="9" customWidth="1" min="1" max="1"/>
    <col width="52" customWidth="1" min="2" max="2"/>
    <col width="11" customWidth="1" min="3" max="3"/>
    <col width="11" customWidth="1" min="4" max="4"/>
    <col width="12" customWidth="1" min="5" max="5"/>
    <col width="86" customWidth="1" min="6" max="6"/>
  </cols>
  <sheetData>
    <row r="1" ht="24" customHeight="1">
      <c r="A1" s="1" t="inlineStr">
        <is>
          <t>COLLINS — PRODUCTION PLAN</t>
        </is>
      </c>
      <c r="B1" s="2" t="n"/>
      <c r="C1" s="2" t="n"/>
      <c r="D1" s="2" t="n"/>
      <c r="E1" s="2" t="n"/>
      <c r="F1" s="2" t="n"/>
    </row>
    <row r="2" ht="16" customHeight="1">
      <c r="A2" s="2" t="n"/>
      <c r="B2" s="2" t="n"/>
      <c r="C2" s="2" t="n"/>
      <c r="D2" s="2" t="n"/>
      <c r="E2" s="2" t="n"/>
      <c r="F2" s="2" t="n"/>
    </row>
    <row r="3" ht="15" customHeight="1">
      <c r="A3" s="3" t="inlineStr">
        <is>
          <t>Two mobilizations per contract. Day numbers are crew-days at the 2-man default (edit CREW_SIZE on Budget &amp; Job Costing); Phase 2 waits on the owner-built patio, so sequence is pinned, calendar floats.</t>
        </is>
      </c>
    </row>
    <row r="5" ht="20" customHeight="1">
      <c r="A5" s="6" t="inlineStr">
        <is>
          <t>PHASE 1 — TEAR-OFF, DECK, DRY-IN</t>
        </is>
      </c>
    </row>
    <row r="6" ht="28" customHeight="1">
      <c r="A6" s="7" t="inlineStr">
        <is>
          <t>Step</t>
        </is>
      </c>
      <c r="B6" s="7" t="inlineStr">
        <is>
          <t>Task</t>
        </is>
      </c>
      <c r="C6" s="7" t="inlineStr">
        <is>
          <t>Crew-days</t>
        </is>
      </c>
      <c r="D6" s="7" t="inlineStr">
        <is>
          <t>Day start</t>
        </is>
      </c>
      <c r="E6" s="7" t="inlineStr">
        <is>
          <t>Day end</t>
        </is>
      </c>
      <c r="F6" s="7" t="inlineStr">
        <is>
          <t>Notes / controls</t>
        </is>
      </c>
    </row>
    <row r="7" ht="30" customHeight="1">
      <c r="A7" s="24" t="inlineStr">
        <is>
          <t>P1-1</t>
        </is>
      </c>
      <c r="B7" s="56" t="inlineStr">
        <is>
          <t>Mobilize, site protection, dumpster set</t>
        </is>
      </c>
      <c r="C7" s="65" t="n">
        <v>0.5</v>
      </c>
      <c r="D7" s="65">
        <f>1</f>
        <v/>
      </c>
      <c r="E7" s="65">
        <f>D7+C7</f>
        <v/>
      </c>
      <c r="F7" s="60" t="inlineStr">
        <is>
          <t>Tarps staged, magnetic sweep boundary, driveway protection.</t>
        </is>
      </c>
    </row>
    <row r="8" ht="30" customHeight="1">
      <c r="A8" s="24" t="inlineStr">
        <is>
          <t>P1-2</t>
        </is>
      </c>
      <c r="B8" s="56" t="inlineStr">
        <is>
          <t>Tear-off to rafters — 5V crimp, sleepers, shake (3+ layers)</t>
        </is>
      </c>
      <c r="C8" s="65" t="n">
        <v>2</v>
      </c>
      <c r="D8" s="65">
        <f>E7</f>
        <v/>
      </c>
      <c r="E8" s="65">
        <f>D8+C8</f>
        <v/>
      </c>
      <c r="F8" s="60" t="inlineStr">
        <is>
          <t>Pre-approved rates armed: $185/sq extra layer beyond visible. Inspect rafter tails for Approach A/B decision at the gables — decision point, same day.</t>
        </is>
      </c>
    </row>
    <row r="9" ht="30" customHeight="1">
      <c r="A9" s="24" t="inlineStr">
        <is>
          <t>P1-3</t>
        </is>
      </c>
      <c r="B9" s="56" t="inlineStr">
        <is>
          <t>Rafter irregularity correction + chimney opening frame &amp; sheet</t>
        </is>
      </c>
      <c r="C9" s="65" t="n">
        <v>1</v>
      </c>
      <c r="D9" s="65">
        <f>E8</f>
        <v/>
      </c>
      <c r="E9" s="65">
        <f>D9+C9</f>
        <v/>
      </c>
      <c r="F9" s="60" t="inlineStr">
        <is>
          <t>102-year-old frame; plane the highs, shim the lows. Chimney demo below deck is owner scope — coordinate.</t>
        </is>
      </c>
    </row>
    <row r="10" ht="30" customHeight="1">
      <c r="A10" s="24" t="inlineStr">
        <is>
          <t>P1-4</t>
        </is>
      </c>
      <c r="B10" s="56" t="inlineStr">
        <is>
          <t>Re-deck 1/2-in 5-ply, full deck (~45 sheets)</t>
        </is>
      </c>
      <c r="C10" s="65" t="n">
        <v>1.5</v>
      </c>
      <c r="D10" s="65">
        <f>E9</f>
        <v/>
      </c>
      <c r="E10" s="65">
        <f>D10+C10</f>
        <v/>
      </c>
      <c r="F10" s="60" t="inlineStr">
        <is>
          <t>Rotten sheets beyond allowance at $225/sheet pre-approved.</t>
        </is>
      </c>
    </row>
    <row r="11" ht="30" customHeight="1">
      <c r="A11" s="24" t="inlineStr">
        <is>
          <t>P1-5</t>
        </is>
      </c>
      <c r="B11" s="56" t="inlineStr">
        <is>
          <t>Malarkey 401 SA full-deck + dry-in details</t>
        </is>
      </c>
      <c r="C11" s="65" t="n">
        <v>1</v>
      </c>
      <c r="D11" s="65">
        <f>E10</f>
        <v/>
      </c>
      <c r="E11" s="65">
        <f>D11+C11</f>
        <v/>
      </c>
      <c r="F11" s="60" t="inlineStr">
        <is>
          <t>High-temp SA per Ibex PBR requirement. Building is weather-tight at close.</t>
        </is>
      </c>
    </row>
    <row r="12">
      <c r="B12" s="15" t="inlineStr">
        <is>
          <t>PHASE 1 TOTAL</t>
        </is>
      </c>
      <c r="C12" s="84">
        <f>SUM(C7:C11)</f>
        <v/>
      </c>
    </row>
    <row r="14" ht="20" customHeight="1">
      <c r="A14" s="6" t="inlineStr">
        <is>
          <t>OWNER WINDOW — BETWEEN PHASES</t>
        </is>
      </c>
    </row>
    <row r="15" ht="40" customHeight="1">
      <c r="B15" s="11" t="inlineStr">
        <is>
          <t>OWNER WINDOW — Kevin builds the patio structure and sheeting; chimney demo. Ketron places the Ibex material order at window start so fabrication runs inside the owner window. Phase 2 confirmation call to Ibex includes the pitch-break field template (A6).</t>
        </is>
      </c>
    </row>
    <row r="17" ht="20" customHeight="1">
      <c r="A17" s="6" t="inlineStr">
        <is>
          <t>MATERIAL ORDER TIMELINE (runs inside the owner window)</t>
        </is>
      </c>
    </row>
    <row r="18" ht="26" customHeight="1">
      <c r="A18" s="23" t="inlineStr"/>
      <c r="B18" s="24" t="inlineStr">
        <is>
          <t>Order placed</t>
        </is>
      </c>
      <c r="C18" s="23" t="n"/>
      <c r="D18" s="23" t="n"/>
      <c r="E18" s="23" t="n"/>
      <c r="F18" s="60" t="inlineStr">
        <is>
          <t>At owner-window start: this packet to Ibex for quotation and fabrication scheduling.</t>
        </is>
      </c>
    </row>
    <row r="19" ht="26" customHeight="1">
      <c r="A19" s="23" t="inlineStr"/>
      <c r="B19" s="24" t="inlineStr">
        <is>
          <t>Acknowledgment back</t>
        </is>
      </c>
      <c r="C19" s="23" t="n"/>
      <c r="D19" s="23" t="n"/>
      <c r="E19" s="23" t="n"/>
      <c r="F19" s="60" t="inlineStr">
        <is>
          <t>Ibex returns pricing, lead time, chip, and answers A1–A7. Customer signs the chip.</t>
        </is>
      </c>
    </row>
    <row r="20" ht="26" customHeight="1">
      <c r="A20" s="23" t="inlineStr"/>
      <c r="B20" s="24" t="inlineStr">
        <is>
          <t>Phase-2 confirmation call</t>
        </is>
      </c>
      <c r="C20" s="23" t="n"/>
      <c r="D20" s="23" t="n"/>
      <c r="E20" s="23" t="n"/>
      <c r="F20" s="60" t="inlineStr">
        <is>
          <t>Before forming: pitch-break field template supplied; any tear-off deltas folded in at zero cost.</t>
        </is>
      </c>
    </row>
    <row r="21" ht="26" customHeight="1">
      <c r="A21" s="23" t="inlineStr"/>
      <c r="B21" s="24" t="inlineStr">
        <is>
          <t>Fabrication + delivery</t>
        </is>
      </c>
      <c r="C21" s="23" t="n"/>
      <c r="D21" s="23" t="n"/>
      <c r="E21" s="23" t="n"/>
      <c r="F21" s="60" t="inlineStr">
        <is>
          <t>Cut-to-length blanks per the grouped cut schedule; delivery day = Phase 2 step P2-1 (receiving QC against the cut list).</t>
        </is>
      </c>
    </row>
    <row r="23" ht="20" customHeight="1">
      <c r="A23" s="6" t="inlineStr">
        <is>
          <t>PHASE 2 — METAL</t>
        </is>
      </c>
    </row>
    <row r="24" ht="28" customHeight="1">
      <c r="A24" s="7" t="inlineStr">
        <is>
          <t>Step</t>
        </is>
      </c>
      <c r="B24" s="7" t="inlineStr">
        <is>
          <t>Task</t>
        </is>
      </c>
      <c r="C24" s="7" t="inlineStr">
        <is>
          <t>Crew-days</t>
        </is>
      </c>
      <c r="D24" s="7" t="inlineStr">
        <is>
          <t>Day start</t>
        </is>
      </c>
      <c r="E24" s="7" t="inlineStr">
        <is>
          <t>Day end</t>
        </is>
      </c>
      <c r="F24" s="7" t="inlineStr">
        <is>
          <t>Notes / controls</t>
        </is>
      </c>
    </row>
    <row r="25" ht="30" customHeight="1">
      <c r="A25" s="24" t="inlineStr">
        <is>
          <t>P2-1</t>
        </is>
      </c>
      <c r="B25" s="56" t="inlineStr">
        <is>
          <t>Material receiving day — full order QC against the cut list</t>
        </is>
      </c>
      <c r="C25" s="65" t="n">
        <v>0.5</v>
      </c>
      <c r="D25" s="65">
        <f>1</f>
        <v/>
      </c>
      <c r="E25" s="65">
        <f>D25+C25</f>
        <v/>
      </c>
      <c r="F25" s="60" t="inlineStr">
        <is>
          <t>Count blanks by length group, chip-check color against signed chip, inspect finish, stage by section per the staging map. Shortage/damage claim same day.</t>
        </is>
      </c>
    </row>
    <row r="26" ht="30" customHeight="1">
      <c r="A26" s="24" t="inlineStr">
        <is>
          <t>P2-2</t>
        </is>
      </c>
      <c r="B26" s="56" t="inlineStr">
        <is>
          <t>Patio deck I&amp;W + drip edge, rat guard, gable shelf set</t>
        </is>
      </c>
      <c r="C26" s="65" t="n">
        <v>1</v>
      </c>
      <c r="D26" s="65">
        <f>E25</f>
        <v/>
      </c>
      <c r="E26" s="65">
        <f>D26+C26</f>
        <v/>
      </c>
      <c r="F26" s="60" t="inlineStr">
        <is>
          <t>KR-COL-ED-01 at eaves and main gable rakes; string-line the drip line.</t>
        </is>
      </c>
    </row>
    <row r="27" ht="30" customHeight="1">
      <c r="A27" s="24" t="inlineStr">
        <is>
          <t>P2-3</t>
        </is>
      </c>
      <c r="B27" s="56" t="inlineStr">
        <is>
          <t>PORCH ROOF (S5) panels + pitch-break flashing</t>
        </is>
      </c>
      <c r="C27" s="65" t="n">
        <v>1</v>
      </c>
      <c r="D27" s="65">
        <f>E26</f>
        <v/>
      </c>
      <c r="E27" s="65">
        <f>D27+C27</f>
        <v/>
      </c>
      <c r="F27" s="60" t="inlineStr">
        <is>
          <t>11 panels incl. 2 field rips at the rakes. Break flashing + both closures on top.</t>
        </is>
      </c>
    </row>
    <row r="28" ht="30" customHeight="1">
      <c r="A28" s="24" t="inlineStr">
        <is>
          <t>P2-4</t>
        </is>
      </c>
      <c r="B28" s="56" t="inlineStr">
        <is>
          <t>MAIN ROOF (S1, S2) panels</t>
        </is>
      </c>
      <c r="C28" s="65" t="n">
        <v>1.5</v>
      </c>
      <c r="D28" s="65">
        <f>E27</f>
        <v/>
      </c>
      <c r="E28" s="65">
        <f>D28+C28</f>
        <v/>
      </c>
      <c r="F28" s="60" t="inlineStr">
        <is>
          <t>18 panels, 17-ft class. Factory edge to the eave line, tops run long past the ridge line, trimmed under the vented ridge assembly.</t>
        </is>
      </c>
    </row>
    <row r="29" ht="30" customHeight="1">
      <c r="A29" s="24" t="inlineStr">
        <is>
          <t>P2-5</t>
        </is>
      </c>
      <c r="B29" s="56" t="inlineStr">
        <is>
          <t>FRONT UPPER FACE (S3) + CORNER RETURNS (S4) panels</t>
        </is>
      </c>
      <c r="C29" s="65" t="n">
        <v>1.5</v>
      </c>
      <c r="D29" s="65">
        <f>E28</f>
        <v/>
      </c>
      <c r="E29" s="65">
        <f>D29+C29</f>
        <v/>
      </c>
      <c r="F29" s="60" t="inlineStr">
        <is>
          <t>17 panels, shape-cut tops under hip/valley/ridge trim; 2 field rips at S3 rakes.</t>
        </is>
      </c>
    </row>
    <row r="30" ht="30" customHeight="1">
      <c r="A30" s="24" t="inlineStr">
        <is>
          <t>P2-6</t>
        </is>
      </c>
      <c r="B30" s="56" t="inlineStr">
        <is>
          <t>Ridge vent, hips, valleys, rake trim, closures, stitch pass</t>
        </is>
      </c>
      <c r="C30" s="65" t="n">
        <v>1</v>
      </c>
      <c r="D30" s="65">
        <f>E29</f>
        <v/>
      </c>
      <c r="E30" s="65">
        <f>D30+C30</f>
        <v/>
      </c>
      <c r="F30" s="60" t="inlineStr">
        <is>
          <t>Vented ridge stack-up; stitch screws 12 in o.c.; closure map per order.</t>
        </is>
      </c>
    </row>
    <row r="31" ht="30" customHeight="1">
      <c r="A31" s="24" t="inlineStr">
        <is>
          <t>P2-7</t>
        </is>
      </c>
      <c r="B31" s="56" t="inlineStr">
        <is>
          <t>Detail pass, boots, touch-up audit, magnetic sweep, walkthrough</t>
        </is>
      </c>
      <c r="C31" s="65" t="n">
        <v>0.5</v>
      </c>
      <c r="D31" s="65">
        <f>E30</f>
        <v/>
      </c>
      <c r="E31" s="65">
        <f>D31+C31</f>
        <v/>
      </c>
      <c r="F31" s="60" t="inlineStr">
        <is>
          <t>Dektite boots on plumbing vents; swarf audit every plane; final photos for the job record; customer walkthrough.</t>
        </is>
      </c>
    </row>
    <row r="32">
      <c r="B32" s="15" t="inlineStr">
        <is>
          <t>PHASE 2 TOTAL</t>
        </is>
      </c>
      <c r="C32" s="84">
        <f>SUM(C25:C31)</f>
        <v/>
      </c>
    </row>
    <row r="34" ht="20" customHeight="1">
      <c r="A34" s="6" t="inlineStr">
        <is>
          <t>DELIVERY &amp; STAGING</t>
        </is>
      </c>
    </row>
    <row r="35" ht="30" customHeight="1">
      <c r="A35" s="23" t="inlineStr"/>
      <c r="B35" s="24" t="inlineStr">
        <is>
          <t>Total panel order</t>
        </is>
      </c>
      <c r="C35" s="23" t="n"/>
      <c r="D35" s="23" t="n"/>
      <c r="E35" s="23" t="n"/>
      <c r="F35" s="60" t="inlineStr">
        <is>
          <t>46 blanks • 551 LF • longest 17.58 ft</t>
        </is>
      </c>
    </row>
    <row r="36" ht="30" customHeight="1">
      <c r="A36" s="23" t="inlineStr"/>
      <c r="B36" s="24" t="inlineStr">
        <is>
          <t>Approx. panel weight</t>
        </is>
      </c>
      <c r="C36" s="23" t="n"/>
      <c r="D36" s="23" t="n"/>
      <c r="E36" s="23" t="n"/>
      <c r="F36" s="60" t="inlineStr">
        <is>
          <t>2,224 lb (EST @ 1.16 lb/sqft of 41.75-in coil — confirm on acknowledgment)</t>
        </is>
      </c>
    </row>
    <row r="37" ht="30" customHeight="1">
      <c r="A37" s="23" t="inlineStr"/>
      <c r="B37" s="24" t="inlineStr">
        <is>
          <t>Staging map</t>
        </is>
      </c>
      <c r="C37" s="23" t="n"/>
      <c r="D37" s="23" t="n"/>
      <c r="E37" s="23" t="n"/>
      <c r="F37" s="60" t="inlineStr">
        <is>
          <t>Stage by section: S5 porch bundle at the front; S1/S2 17-ft bundles left/right of the drive; S3/S4 short bundle front-center. Keep rip blanks (H01/H11/I01/I11 lengths) on top of their bundles.</t>
        </is>
      </c>
    </row>
    <row r="38" ht="30" customHeight="1">
      <c r="A38" s="23" t="inlineStr"/>
      <c r="B38" s="24" t="inlineStr">
        <is>
          <t>Receiving QC</t>
        </is>
      </c>
      <c r="C38" s="23" t="n"/>
      <c r="D38" s="23" t="n"/>
      <c r="E38" s="23" t="n"/>
      <c r="F38" s="60" t="inlineStr">
        <is>
          <t>Count by length group against the Blank Order sheet; chip-check color; finish inspection before signing the delivery ticket.</t>
        </is>
      </c>
    </row>
  </sheetData>
  <mergeCells count="8">
    <mergeCell ref="A14:F14"/>
    <mergeCell ref="B15:F15"/>
    <mergeCell ref="A5:F5"/>
    <mergeCell ref="A23:F23"/>
    <mergeCell ref="A1:F2"/>
    <mergeCell ref="A17:F17"/>
    <mergeCell ref="A34:F34"/>
    <mergeCell ref="A3:F3"/>
  </mergeCells>
  <printOptions horizontalCentered="1"/>
  <pageMargins left="0.35" right="0.35" top="0.45" bottom="0.45" header="0.5" footer="0.5"/>
  <pageSetup orientation="landscape" paperSize="1" fitToHeight="0" fitToWidth="1"/>
</worksheet>
</file>

<file path=xl/worksheets/sheet12.xml><?xml version="1.0" encoding="utf-8"?>
<worksheet xmlns="http://schemas.openxmlformats.org/spreadsheetml/2006/main">
  <sheetPr>
    <outlinePr summaryBelow="1" summaryRight="1"/>
    <pageSetUpPr fitToPage="1"/>
  </sheetPr>
  <dimension ref="A1:G45"/>
  <sheetViews>
    <sheetView workbookViewId="0">
      <selection activeCell="A1" sqref="A1"/>
    </sheetView>
  </sheetViews>
  <sheetFormatPr baseColWidth="8" defaultRowHeight="15"/>
  <cols>
    <col width="42" customWidth="1" min="1" max="1"/>
    <col width="13" customWidth="1" min="2" max="2"/>
    <col width="13" customWidth="1" min="3" max="3"/>
    <col width="13" customWidth="1" min="4" max="4"/>
    <col width="13" customWidth="1" min="5" max="5"/>
    <col width="13" customWidth="1" min="6" max="6"/>
    <col width="66" customWidth="1" min="7" max="7"/>
  </cols>
  <sheetData>
    <row r="1" ht="24" customHeight="1">
      <c r="A1" s="1" t="inlineStr">
        <is>
          <t>COLLINS — BUDGET &amp; JOB COSTING</t>
        </is>
      </c>
      <c r="B1" s="2" t="n"/>
      <c r="C1" s="2" t="n"/>
      <c r="D1" s="2" t="n"/>
      <c r="E1" s="2" t="n"/>
      <c r="F1" s="2" t="n"/>
      <c r="G1" s="2" t="n"/>
    </row>
    <row r="2" ht="16" customHeight="1">
      <c r="A2" s="2" t="n"/>
      <c r="B2" s="2" t="n"/>
      <c r="C2" s="2" t="n"/>
      <c r="D2" s="2" t="n"/>
      <c r="E2" s="2" t="n"/>
      <c r="F2" s="2" t="n"/>
      <c r="G2" s="2" t="n"/>
    </row>
    <row r="3" ht="15" customHeight="1">
      <c r="A3" s="3" t="inlineStr">
        <is>
          <t>Revenue is the signed contract. Estimated costs run on the editable assumptions below (shaded = edit me); Committed fills from the Ibex acknowledgment, Actual from invoices. Margin tracks against the metal-tier doctrine.</t>
        </is>
      </c>
    </row>
    <row r="5" ht="20" customHeight="1">
      <c r="A5" s="6" t="inlineStr">
        <is>
          <t>COST ASSUMPTIONS — edit here; the whole sheet recomputes</t>
        </is>
      </c>
    </row>
    <row r="6" ht="28" customHeight="1">
      <c r="A6" s="7" t="inlineStr">
        <is>
          <t>Assumption</t>
        </is>
      </c>
      <c r="B6" s="7" t="inlineStr">
        <is>
          <t>Value</t>
        </is>
      </c>
      <c r="C6" s="7" t="inlineStr">
        <is>
          <t>Unit</t>
        </is>
      </c>
      <c r="D6" s="7" t="inlineStr"/>
      <c r="E6" s="7" t="inlineStr"/>
      <c r="F6" s="7" t="inlineStr"/>
      <c r="G6" s="7" t="inlineStr">
        <is>
          <t>Basis</t>
        </is>
      </c>
    </row>
    <row r="7" ht="24" customHeight="1">
      <c r="A7" s="8" t="inlineStr">
        <is>
          <t>Panel Cost Lf</t>
        </is>
      </c>
      <c r="B7" s="85" t="n">
        <v>3.25</v>
      </c>
      <c r="C7" s="10" t="inlineStr">
        <is>
          <t>$/LF</t>
        </is>
      </c>
      <c r="G7" s="11" t="inlineStr">
        <is>
          <t>EST — 24 ga PVDF PBR @ 36 in cover; anchor: MA 24 ga snap-lock $4.46/LF @ 16 in = $3.35/sqft; PBR runs well under standing seam. Replace with Ibex ack price.</t>
        </is>
      </c>
    </row>
    <row r="8" ht="24" customHeight="1">
      <c r="A8" s="8" t="inlineStr">
        <is>
          <t>Trim Cost Stick</t>
        </is>
      </c>
      <c r="B8" s="85" t="n">
        <v>24</v>
      </c>
      <c r="C8" s="10" t="inlineStr">
        <is>
          <t>$/stick</t>
        </is>
      </c>
      <c r="G8" s="11" t="inlineStr">
        <is>
          <t>EST — Ibex Crinkle ridge cap $24.05/stick anchor; 24 ga PVDF premium applied on the custom profile line.</t>
        </is>
      </c>
    </row>
    <row r="9" ht="24" customHeight="1">
      <c r="A9" s="8" t="inlineStr">
        <is>
          <t>Custom Drip Stick</t>
        </is>
      </c>
      <c r="B9" s="85" t="n">
        <v>42</v>
      </c>
      <c r="C9" s="10" t="inlineStr">
        <is>
          <t>$/stick</t>
        </is>
      </c>
      <c r="G9" s="11" t="inlineStr">
        <is>
          <t>EST — custom-formed 24 ga PVDF, 10-1/4 in girth, hemmed; supplier quote replaces.</t>
        </is>
      </c>
    </row>
    <row r="10" ht="24" customHeight="1">
      <c r="A10" s="8" t="inlineStr">
        <is>
          <t>Screw Cost Ea</t>
        </is>
      </c>
      <c r="B10" s="85" t="n">
        <v>0.16</v>
      </c>
      <c r="C10" s="10" t="inlineStr">
        <is>
          <t>$/ea</t>
        </is>
      </c>
      <c r="G10" s="11" t="inlineStr">
        <is>
          <t>EST — painted-head woodgrip w/ EPDM, boxed.</t>
        </is>
      </c>
    </row>
    <row r="11" ht="24" customHeight="1">
      <c r="A11" s="8" t="inlineStr">
        <is>
          <t>Closure Cost Lf</t>
        </is>
      </c>
      <c r="B11" s="85" t="n">
        <v>1.4</v>
      </c>
      <c r="C11" s="10" t="inlineStr">
        <is>
          <t>$/LF</t>
        </is>
      </c>
      <c r="G11" s="11" t="inlineStr">
        <is>
          <t>EST — foam/rigid PBR closures.</t>
        </is>
      </c>
    </row>
    <row r="12" ht="24" customHeight="1">
      <c r="A12" s="8" t="inlineStr">
        <is>
          <t>Butyl Cost Roll</t>
        </is>
      </c>
      <c r="B12" s="85" t="n">
        <v>14</v>
      </c>
      <c r="C12" s="10" t="inlineStr">
        <is>
          <t>$/roll</t>
        </is>
      </c>
      <c r="G12" s="11" t="inlineStr">
        <is>
          <t>EST — 50-ft butyl tape.</t>
        </is>
      </c>
    </row>
    <row r="13" ht="24" customHeight="1">
      <c r="A13" s="8" t="inlineStr">
        <is>
          <t>Iw Cost Sq</t>
        </is>
      </c>
      <c r="B13" s="85" t="n">
        <v>70.75</v>
      </c>
      <c r="C13" s="10" t="inlineStr">
        <is>
          <t>$/square</t>
        </is>
      </c>
      <c r="G13" s="11" t="inlineStr">
        <is>
          <t>VERIFIED CLASS — Titanium PSU30 $141.50/roll = 2 sq (ABC Hayden); Malarkey 401 SA comparable class.</t>
        </is>
      </c>
    </row>
    <row r="14" ht="24" customHeight="1">
      <c r="A14" s="8" t="inlineStr">
        <is>
          <t>Ply Cost Sheet</t>
        </is>
      </c>
      <c r="B14" s="85" t="n">
        <v>52</v>
      </c>
      <c r="C14" s="10" t="inlineStr">
        <is>
          <t>$/sheet</t>
        </is>
      </c>
      <c r="G14" s="11" t="inlineStr">
        <is>
          <t>EST — 1/2 in 5-ply structural, ~45 sheets full deck.</t>
        </is>
      </c>
    </row>
    <row r="15" ht="24" customHeight="1">
      <c r="A15" s="8" t="inlineStr">
        <is>
          <t>Labor Day Rate</t>
        </is>
      </c>
      <c r="B15" s="85" t="n">
        <v>650</v>
      </c>
      <c r="C15" s="10" t="inlineStr">
        <is>
          <t>$/man-day</t>
        </is>
      </c>
      <c r="G15" s="11" t="inlineStr">
        <is>
          <t>EST — set to your loaded rate; drives phase labor.</t>
        </is>
      </c>
    </row>
    <row r="16" ht="24" customHeight="1">
      <c r="A16" s="8" t="inlineStr">
        <is>
          <t>Crew Size</t>
        </is>
      </c>
      <c r="B16" s="86" t="n">
        <v>2</v>
      </c>
      <c r="C16" s="10" t="inlineStr">
        <is>
          <t>crew</t>
        </is>
      </c>
      <c r="G16" s="11" t="inlineStr">
        <is>
          <t>Default 2-man crew (ratified default).</t>
        </is>
      </c>
    </row>
    <row r="17" ht="24" customHeight="1">
      <c r="A17" s="8" t="inlineStr">
        <is>
          <t>Dumpster Cost</t>
        </is>
      </c>
      <c r="B17" s="86" t="n">
        <v>650</v>
      </c>
      <c r="C17" s="10" t="inlineStr">
        <is>
          <t>$</t>
        </is>
      </c>
      <c r="G17" s="11" t="inlineStr">
        <is>
          <t>EST — 20-yd, tear-off 3+ layers.</t>
        </is>
      </c>
    </row>
    <row r="18" ht="24" customHeight="1">
      <c r="A18" s="8" t="inlineStr">
        <is>
          <t>Permit Cost</t>
        </is>
      </c>
      <c r="B18" s="86" t="n">
        <v>450</v>
      </c>
      <c r="C18" s="10" t="inlineStr">
        <is>
          <t>$</t>
        </is>
      </c>
      <c r="G18" s="11" t="inlineStr">
        <is>
          <t>EST — City of CdA re-roof permit class.</t>
        </is>
      </c>
    </row>
    <row r="19" ht="24" customHeight="1">
      <c r="A19" s="8" t="inlineStr">
        <is>
          <t>Delivery Fee</t>
        </is>
      </c>
      <c r="B19" s="86" t="n">
        <v>650</v>
      </c>
      <c r="C19" s="10" t="inlineStr">
        <is>
          <t>$</t>
        </is>
      </c>
      <c r="G19" s="11" t="inlineStr">
        <is>
          <t>ANCHOR — Ibex onsite delivery fee on panel orders.</t>
        </is>
      </c>
    </row>
    <row r="21" ht="20" customHeight="1">
      <c r="A21" s="6" t="inlineStr">
        <is>
          <t>ESTIMATED DIRECT COST — every line is a formula</t>
        </is>
      </c>
    </row>
    <row r="22" ht="28" customHeight="1">
      <c r="A22" s="7" t="inlineStr">
        <is>
          <t>Cost line</t>
        </is>
      </c>
      <c r="B22" s="7" t="inlineStr">
        <is>
          <t>Est. cost</t>
        </is>
      </c>
      <c r="C22" s="7" t="inlineStr">
        <is>
          <t>Committed (PO)</t>
        </is>
      </c>
      <c r="D22" s="7" t="inlineStr">
        <is>
          <t>Actual</t>
        </is>
      </c>
      <c r="E22" s="7" t="inlineStr">
        <is>
          <t>Variance</t>
        </is>
      </c>
      <c r="F22" s="7" t="inlineStr">
        <is>
          <t>Phase</t>
        </is>
      </c>
      <c r="G22" s="7" t="inlineStr">
        <is>
          <t>Derivation</t>
        </is>
      </c>
    </row>
    <row r="23" ht="24" customHeight="1">
      <c r="A23" s="16" t="inlineStr">
        <is>
          <t>PBR panels, 24 ga PVDF</t>
        </is>
      </c>
      <c r="B23" s="82">
        <f>SUM('Blank List'!$F$6:$F$51)*PANEL_COST_LF</f>
        <v/>
      </c>
      <c r="C23" s="87" t="n"/>
      <c r="D23" s="87" t="n"/>
      <c r="E23" s="88">
        <f>IF(D23&lt;&gt;"",B23-D23,IF(C23&lt;&gt;"",B23-C23,0))</f>
        <v/>
      </c>
      <c r="F23" s="18" t="inlineStr">
        <is>
          <t>2</t>
        </is>
      </c>
      <c r="G23" s="60" t="inlineStr">
        <is>
          <t>ordered LF × PANEL_COST_LF</t>
        </is>
      </c>
    </row>
    <row r="24" ht="24" customHeight="1">
      <c r="A24" s="16" t="inlineStr">
        <is>
          <t>Custom drip edge + gable shelf</t>
        </is>
      </c>
      <c r="B24" s="82">
        <f>('Trim &amp; Accessories'!$G$6+'Trim &amp; Accessories'!$G$9)*CUSTOM_DRIP_STICK</f>
        <v/>
      </c>
      <c r="C24" s="87" t="n"/>
      <c r="D24" s="87" t="n"/>
      <c r="E24" s="88">
        <f>IF(D24&lt;&gt;"",B24-D24,IF(C24&lt;&gt;"",B24-C24,0))</f>
        <v/>
      </c>
      <c r="F24" s="18" t="inlineStr">
        <is>
          <t>2</t>
        </is>
      </c>
      <c r="G24" s="60" t="inlineStr">
        <is>
          <t>KR-COL-ED-01 eave + gable-shelf pieces × custom stick cost</t>
        </is>
      </c>
    </row>
    <row r="25" ht="24" customHeight="1">
      <c r="A25" s="16" t="inlineStr">
        <is>
          <t>Standard trim (rake, ridge, hip, valley, break, rat guard)</t>
        </is>
      </c>
      <c r="B25" s="82">
        <f>('Trim &amp; Accessories'!$G$30-('Trim &amp; Accessories'!$G$6+'Trim &amp; Accessories'!$G$9))*TRIM_COST_STICK</f>
        <v/>
      </c>
      <c r="C25" s="87" t="n"/>
      <c r="D25" s="87" t="n"/>
      <c r="E25" s="88">
        <f>IF(D25&lt;&gt;"",B25-D25,IF(C25&lt;&gt;"",B25-C25,0))</f>
        <v/>
      </c>
      <c r="F25" s="18" t="inlineStr">
        <is>
          <t>2</t>
        </is>
      </c>
      <c r="G25" s="60" t="inlineStr">
        <is>
          <t>family stick total minus the custom pieces, × stick cost</t>
        </is>
      </c>
    </row>
    <row r="26" ht="24" customHeight="1">
      <c r="A26" s="16" t="inlineStr">
        <is>
          <t>Fasteners (field + stitch + pancake)</t>
        </is>
      </c>
      <c r="B26" s="82">
        <f>('Trim &amp; Accessories'!$B$34+'Trim &amp; Accessories'!$B$35+'Trim &amp; Accessories'!$B$36)*SCREW_COST_EA</f>
        <v/>
      </c>
      <c r="C26" s="87" t="n"/>
      <c r="D26" s="87" t="n"/>
      <c r="E26" s="88">
        <f>IF(D26&lt;&gt;"",B26-D26,IF(C26&lt;&gt;"",B26-C26,0))</f>
        <v/>
      </c>
      <c r="F26" s="18" t="inlineStr">
        <is>
          <t>2</t>
        </is>
      </c>
      <c r="G26" s="60" t="inlineStr">
        <is>
          <t>screw quantities from the accessories block × unit cost</t>
        </is>
      </c>
    </row>
    <row r="27" ht="24" customHeight="1">
      <c r="A27" s="16" t="inlineStr">
        <is>
          <t>Closures + vent material</t>
        </is>
      </c>
      <c r="B27" s="82">
        <f>('Trim &amp; Accessories'!$B$37+'Trim &amp; Accessories'!$B$38+'Trim &amp; Accessories'!$B$39+'Trim &amp; Accessories'!$B$40)*CLOSURE_COST_LF</f>
        <v/>
      </c>
      <c r="C27" s="87" t="n"/>
      <c r="D27" s="87" t="n"/>
      <c r="E27" s="88">
        <f>IF(D27&lt;&gt;"",B27-D27,IF(C27&lt;&gt;"",B27-C27,0))</f>
        <v/>
      </c>
      <c r="F27" s="18" t="inlineStr">
        <is>
          <t>2</t>
        </is>
      </c>
      <c r="G27" s="60" t="inlineStr">
        <is>
          <t>outside + inside + valley + vent closure LF from the accessories block</t>
        </is>
      </c>
    </row>
    <row r="28" ht="24" customHeight="1">
      <c r="A28" s="16" t="inlineStr">
        <is>
          <t>Butyl + sealants + boots</t>
        </is>
      </c>
      <c r="B28" s="82">
        <f>'Trim &amp; Accessories'!$B$41*BUTYL_COST_ROLL+3*60</f>
        <v/>
      </c>
      <c r="C28" s="87" t="n"/>
      <c r="D28" s="87" t="n"/>
      <c r="E28" s="88">
        <f>IF(D28&lt;&gt;"",B28-D28,IF(C28&lt;&gt;"",B28-C28,0))</f>
        <v/>
      </c>
      <c r="F28" s="18" t="inlineStr">
        <is>
          <t>2</t>
        </is>
      </c>
      <c r="G28" s="60" t="inlineStr">
        <is>
          <t>butyl rolls from the accessories block + 3 Dektite boots @ $60 EST</t>
        </is>
      </c>
    </row>
    <row r="29" ht="24" customHeight="1">
      <c r="A29" s="16" t="inlineStr">
        <is>
          <t>Ice &amp; water shield, full deck + patio</t>
        </is>
      </c>
      <c r="B29" s="82">
        <f>16*IW_COST_SQ</f>
        <v/>
      </c>
      <c r="C29" s="87" t="n"/>
      <c r="D29" s="87" t="n"/>
      <c r="E29" s="88">
        <f>IF(D29&lt;&gt;"",B29-D29,IF(C29&lt;&gt;"",B29-C29,0))</f>
        <v/>
      </c>
      <c r="F29" s="18" t="inlineStr">
        <is>
          <t>1</t>
        </is>
      </c>
      <c r="G29" s="60" t="inlineStr">
        <is>
          <t>≈16 squares incl. patio and valley doubling</t>
        </is>
      </c>
    </row>
    <row r="30" ht="24" customHeight="1">
      <c r="A30" s="16" t="inlineStr">
        <is>
          <t>Re-deck plywood (~45 sheets)</t>
        </is>
      </c>
      <c r="B30" s="82">
        <f>45*PLY_COST_SHEET</f>
        <v/>
      </c>
      <c r="C30" s="87" t="n"/>
      <c r="D30" s="87" t="n"/>
      <c r="E30" s="88">
        <f>IF(D30&lt;&gt;"",B30-D30,IF(C30&lt;&gt;"",B30-C30,0))</f>
        <v/>
      </c>
      <c r="F30" s="18" t="inlineStr">
        <is>
          <t>1</t>
        </is>
      </c>
      <c r="G30" s="60" t="inlineStr">
        <is>
          <t>full re-deck allowance</t>
        </is>
      </c>
    </row>
    <row r="31" ht="24" customHeight="1">
      <c r="A31" s="16" t="inlineStr">
        <is>
          <t>Dumpster + site protection</t>
        </is>
      </c>
      <c r="B31" s="82">
        <f>DUMPSTER_COST</f>
        <v/>
      </c>
      <c r="C31" s="87" t="n"/>
      <c r="D31" s="87" t="n"/>
      <c r="E31" s="88">
        <f>IF(D31&lt;&gt;"",B31-D31,IF(C31&lt;&gt;"",B31-C31,0))</f>
        <v/>
      </c>
      <c r="F31" s="18" t="inlineStr">
        <is>
          <t>1</t>
        </is>
      </c>
      <c r="G31" s="60" t="inlineStr">
        <is>
          <t>assumption</t>
        </is>
      </c>
    </row>
    <row r="32" ht="24" customHeight="1">
      <c r="A32" s="16" t="inlineStr">
        <is>
          <t>Permit</t>
        </is>
      </c>
      <c r="B32" s="82">
        <f>PERMIT_COST</f>
        <v/>
      </c>
      <c r="C32" s="87" t="n"/>
      <c r="D32" s="87" t="n"/>
      <c r="E32" s="88">
        <f>IF(D32&lt;&gt;"",B32-D32,IF(C32&lt;&gt;"",B32-C32,0))</f>
        <v/>
      </c>
      <c r="F32" s="18" t="inlineStr">
        <is>
          <t>1</t>
        </is>
      </c>
      <c r="G32" s="60" t="inlineStr">
        <is>
          <t>assumption</t>
        </is>
      </c>
    </row>
    <row r="33" ht="24" customHeight="1">
      <c r="A33" s="16" t="inlineStr">
        <is>
          <t>Delivery fee</t>
        </is>
      </c>
      <c r="B33" s="82">
        <f>DELIVERY_FEE</f>
        <v/>
      </c>
      <c r="C33" s="87" t="n"/>
      <c r="D33" s="87" t="n"/>
      <c r="E33" s="88">
        <f>IF(D33&lt;&gt;"",B33-D33,IF(C33&lt;&gt;"",B33-C33,0))</f>
        <v/>
      </c>
      <c r="F33" s="18" t="inlineStr">
        <is>
          <t>2</t>
        </is>
      </c>
      <c r="G33" s="60" t="inlineStr">
        <is>
          <t>Ibex onsite delivery anchor</t>
        </is>
      </c>
    </row>
    <row r="34" ht="24" customHeight="1">
      <c r="A34" s="16" t="inlineStr">
        <is>
          <t>Labor — Phase 1</t>
        </is>
      </c>
      <c r="B34" s="82">
        <f>6*CREW_SIZE*LABOR_DAY_RATE</f>
        <v/>
      </c>
      <c r="C34" s="87" t="n"/>
      <c r="D34" s="87" t="n"/>
      <c r="E34" s="88">
        <f>IF(D34&lt;&gt;"",B34-D34,IF(C34&lt;&gt;"",B34-C34,0))</f>
        <v/>
      </c>
      <c r="F34" s="18" t="inlineStr">
        <is>
          <t>1</t>
        </is>
      </c>
      <c r="G34" s="60" t="inlineStr">
        <is>
          <t>6 crew-days × crew × day rate (Production Plan)</t>
        </is>
      </c>
    </row>
    <row r="35" ht="24" customHeight="1">
      <c r="A35" s="16" t="inlineStr">
        <is>
          <t>Labor — Phase 2</t>
        </is>
      </c>
      <c r="B35" s="82">
        <f>7*CREW_SIZE*LABOR_DAY_RATE</f>
        <v/>
      </c>
      <c r="C35" s="87" t="n"/>
      <c r="D35" s="87" t="n"/>
      <c r="E35" s="88">
        <f>IF(D35&lt;&gt;"",B35-D35,IF(C35&lt;&gt;"",B35-C35,0))</f>
        <v/>
      </c>
      <c r="F35" s="18" t="inlineStr">
        <is>
          <t>2</t>
        </is>
      </c>
      <c r="G35" s="60" t="inlineStr">
        <is>
          <t>7 crew-days × crew × day rate (Production Plan)</t>
        </is>
      </c>
    </row>
    <row r="36">
      <c r="A36" s="47" t="inlineStr">
        <is>
          <t>TOTAL ESTIMATED DIRECT COST</t>
        </is>
      </c>
      <c r="B36" s="89">
        <f>SUM(B23:B35)</f>
        <v/>
      </c>
      <c r="C36" s="83">
        <f>SUM(C23:C35)</f>
        <v/>
      </c>
      <c r="D36" s="83">
        <f>SUM(D23:D35)</f>
        <v/>
      </c>
      <c r="E36" s="67" t="n"/>
      <c r="F36" s="67" t="n"/>
      <c r="G36" s="67" t="n"/>
    </row>
    <row r="38" ht="20" customHeight="1">
      <c r="A38" s="6" t="inlineStr">
        <is>
          <t>MARGIN vs DOCTRINE</t>
        </is>
      </c>
    </row>
    <row r="39">
      <c r="A39" s="16" t="inlineStr">
        <is>
          <t>Contract revenue</t>
        </is>
      </c>
      <c r="B39" s="79">
        <f>'Contract &amp; Payments'!B7</f>
        <v/>
      </c>
      <c r="G39" s="19" t="inlineStr">
        <is>
          <t>signed 24 ga option</t>
        </is>
      </c>
    </row>
    <row r="40">
      <c r="A40" s="16" t="inlineStr">
        <is>
          <t>Estimated direct cost</t>
        </is>
      </c>
      <c r="B40" s="79">
        <f>B36</f>
        <v/>
      </c>
      <c r="G40" s="19" t="inlineStr">
        <is>
          <t>from the table above</t>
        </is>
      </c>
    </row>
    <row r="41">
      <c r="A41" s="16" t="inlineStr">
        <is>
          <t>Estimated gross margin $</t>
        </is>
      </c>
      <c r="B41" s="79">
        <f>B39-B40</f>
        <v/>
      </c>
      <c r="G41" s="19" t="inlineStr"/>
    </row>
    <row r="42">
      <c r="A42" s="16" t="inlineStr">
        <is>
          <t>Estimated gross margin %</t>
        </is>
      </c>
      <c r="B42" s="90">
        <f>B41/B39</f>
        <v/>
      </c>
      <c r="G42" s="19" t="inlineStr"/>
    </row>
    <row r="43">
      <c r="A43" s="16" t="inlineStr">
        <is>
          <t>Doctrine floor</t>
        </is>
      </c>
      <c r="B43" s="91">
        <f>0.5</f>
        <v/>
      </c>
      <c r="G43" s="19" t="inlineStr">
        <is>
          <t>metal_t1 (exposed-fastener PBR)</t>
        </is>
      </c>
    </row>
    <row r="44">
      <c r="A44" s="16" t="inlineStr">
        <is>
          <t>Doctrine target</t>
        </is>
      </c>
      <c r="B44" s="91">
        <f>0.55</f>
        <v/>
      </c>
      <c r="G44" s="19" t="inlineStr">
        <is>
          <t>target band 55%–60%</t>
        </is>
      </c>
    </row>
    <row r="45">
      <c r="A45" s="16" t="inlineStr">
        <is>
          <t>Margin check</t>
        </is>
      </c>
      <c r="B45" s="92">
        <f>IF(B42&gt;=B43,"AT OR ABOVE FLOOR","BELOW FLOOR — REVIEW")</f>
        <v/>
      </c>
      <c r="G45" s="19" t="inlineStr">
        <is>
          <t>Product-tier GM doctrine 2026-07-21; PBR sits at the metal T1 floor/target band.</t>
        </is>
      </c>
    </row>
  </sheetData>
  <mergeCells count="18">
    <mergeCell ref="D19:F19"/>
    <mergeCell ref="D11:F11"/>
    <mergeCell ref="D13:F13"/>
    <mergeCell ref="D14:F14"/>
    <mergeCell ref="A1:G2"/>
    <mergeCell ref="A3:G3"/>
    <mergeCell ref="A21:G21"/>
    <mergeCell ref="D12:F12"/>
    <mergeCell ref="D18:F18"/>
    <mergeCell ref="A38:G38"/>
    <mergeCell ref="D9:F9"/>
    <mergeCell ref="D17:F17"/>
    <mergeCell ref="D7:F7"/>
    <mergeCell ref="D8:F8"/>
    <mergeCell ref="D15:F15"/>
    <mergeCell ref="D16:F16"/>
    <mergeCell ref="A5:G5"/>
    <mergeCell ref="D10:F10"/>
  </mergeCells>
  <printOptions horizontalCentered="1"/>
  <pageMargins left="0.35" right="0.35" top="0.45" bottom="0.45" header="0.5" footer="0.5"/>
  <pageSetup orientation="landscape" paperSize="1" fitToHeight="0" fitToWidth="1"/>
</worksheet>
</file>

<file path=xl/worksheets/sheet13.xml><?xml version="1.0" encoding="utf-8"?>
<worksheet xmlns="http://schemas.openxmlformats.org/spreadsheetml/2006/main">
  <sheetPr>
    <outlinePr summaryBelow="1" summaryRight="1"/>
    <pageSetUpPr fitToPage="1"/>
  </sheetPr>
  <dimension ref="A1:F35"/>
  <sheetViews>
    <sheetView workbookViewId="0">
      <selection activeCell="A1" sqref="A1"/>
    </sheetView>
  </sheetViews>
  <sheetFormatPr baseColWidth="8" defaultRowHeight="15"/>
  <cols>
    <col width="46" customWidth="1" min="1" max="1"/>
    <col width="16" customWidth="1" min="2" max="2"/>
    <col width="12" customWidth="1" min="3" max="3"/>
    <col width="16" customWidth="1" min="4" max="4"/>
    <col width="12" customWidth="1" min="5" max="5"/>
    <col width="74" customWidth="1" min="6" max="6"/>
  </cols>
  <sheetData>
    <row r="1" ht="24" customHeight="1">
      <c r="A1" s="1" t="inlineStr">
        <is>
          <t>COLLINS — RECONCILIATION &amp; QUALITY CONTROL</t>
        </is>
      </c>
      <c r="B1" s="2" t="n"/>
      <c r="C1" s="2" t="n"/>
      <c r="D1" s="2" t="n"/>
      <c r="E1" s="2" t="n"/>
      <c r="F1" s="2" t="n"/>
    </row>
    <row r="2" ht="16" customHeight="1">
      <c r="A2" s="2" t="n"/>
      <c r="B2" s="2" t="n"/>
      <c r="C2" s="2" t="n"/>
      <c r="D2" s="2" t="n"/>
      <c r="E2" s="2" t="n"/>
      <c r="F2" s="2" t="n"/>
    </row>
    <row r="3" ht="15" customHeight="1">
      <c r="A3" s="3" t="inlineStr">
        <is>
          <t>Every figure below is computed live from the Panel Cut List and Blank List.</t>
        </is>
      </c>
    </row>
    <row r="5" ht="20" customHeight="1">
      <c r="A5" s="6" t="inlineStr">
        <is>
          <t>FOOTAGE CHAIN</t>
        </is>
      </c>
    </row>
    <row r="6" ht="28" customHeight="1">
      <c r="A6" s="7" t="inlineStr">
        <is>
          <t>Step</t>
        </is>
      </c>
      <c r="B6" s="7" t="inlineStr">
        <is>
          <t>Value</t>
        </is>
      </c>
      <c r="C6" s="7" t="inlineStr">
        <is>
          <t>Unit</t>
        </is>
      </c>
      <c r="D6" s="7" t="inlineStr">
        <is>
          <t>Δ from previous</t>
        </is>
      </c>
      <c r="E6" s="7" t="inlineStr"/>
      <c r="F6" s="7" t="inlineStr">
        <is>
          <t>Basis</t>
        </is>
      </c>
    </row>
    <row r="7" ht="28" customHeight="1">
      <c r="A7" s="16" t="inlineStr">
        <is>
          <t>Measured panel runs (Roofr)</t>
        </is>
      </c>
      <c r="B7" s="93">
        <f>SUM('Panel Cut List'!$K$6:$K$51)/12</f>
        <v/>
      </c>
      <c r="C7" s="19" t="inlineStr">
        <is>
          <t>LF</t>
        </is>
      </c>
      <c r="D7" s="23" t="n"/>
      <c r="E7" s="23" t="n"/>
      <c r="F7" s="60" t="inlineStr">
        <is>
          <t>Sum of measured run inches ÷ 12. No rounding, no additions.</t>
        </is>
      </c>
    </row>
    <row r="8" ht="28" customHeight="1">
      <c r="A8" s="16" t="inlineStr">
        <is>
          <t>+ whole-inch fabrication rounding</t>
        </is>
      </c>
      <c r="B8" s="93">
        <f>SUM('Panel Cut List'!$L$6:$L$51)/12</f>
        <v/>
      </c>
      <c r="C8" s="19" t="inlineStr">
        <is>
          <t>LF</t>
        </is>
      </c>
      <c r="D8" s="94">
        <f>B8-B7</f>
        <v/>
      </c>
      <c r="E8" s="23" t="n"/>
      <c r="F8" s="60" t="inlineStr">
        <is>
          <t>Each run rounded UP to a whole inch. This is NOT a minimum-length effect — the Ibex 36-in minimum does not bind on any panel here.</t>
        </is>
      </c>
    </row>
    <row r="9" ht="28" customHeight="1">
      <c r="A9" s="16" t="inlineStr">
        <is>
          <t>+ 6-in eave projection</t>
        </is>
      </c>
      <c r="B9" s="93">
        <f>B8+SUM('Panel Cut List'!$N$6:$N$51)/12</f>
        <v/>
      </c>
      <c r="C9" s="19" t="inlineStr">
        <is>
          <t>LF</t>
        </is>
      </c>
      <c r="D9" s="94">
        <f>B9-B8</f>
        <v/>
      </c>
      <c r="E9" s="23" t="n"/>
      <c r="F9" s="60" t="inlineStr">
        <is>
          <t>Applied to the 36 eave-terminated panels only.</t>
        </is>
      </c>
    </row>
    <row r="10" ht="28" customHeight="1">
      <c r="A10" s="16" t="inlineStr">
        <is>
          <t>+ field-verification allowance</t>
        </is>
      </c>
      <c r="B10" s="93">
        <f>SUM('Panel Cut List'!$P$6:$P$51)/12</f>
        <v/>
      </c>
      <c r="C10" s="19" t="inlineStr">
        <is>
          <t>LF</t>
        </is>
      </c>
      <c r="D10" s="94">
        <f>B10-B9</f>
        <v/>
      </c>
      <c r="E10" s="23" t="n"/>
      <c r="F10" s="60" t="inlineStr">
        <is>
          <t>VERIFY_ALLOWANCE_IN × 46. Zero on the current basis.</t>
        </is>
      </c>
    </row>
    <row r="11" ht="28" customHeight="1">
      <c r="A11" s="24" t="inlineStr">
        <is>
          <t>ORDERED FOOTAGE — 46 blanks</t>
        </is>
      </c>
      <c r="B11" s="95">
        <f>SUM('Blank List'!$F$6:$F$51)</f>
        <v/>
      </c>
      <c r="C11" s="19" t="inlineStr">
        <is>
          <t>LF</t>
        </is>
      </c>
      <c r="D11" s="23" t="n"/>
      <c r="E11" s="23" t="n"/>
      <c r="F11" s="60" t="inlineStr">
        <is>
          <t>46 blanks, one per installed panel — decided 2026-07-28, no spares. The four ~6-in edge panels are field rips from their own blanks; offcuts retained.</t>
        </is>
      </c>
    </row>
    <row r="13" ht="20" customHeight="1">
      <c r="A13" s="6" t="inlineStr">
        <is>
          <t>AREA / WASTE RECONCILIATION</t>
        </is>
      </c>
    </row>
    <row r="14" ht="28" customHeight="1">
      <c r="A14" s="7" t="inlineStr">
        <is>
          <t>Check</t>
        </is>
      </c>
      <c r="B14" s="7" t="inlineStr">
        <is>
          <t>Value</t>
        </is>
      </c>
      <c r="C14" s="7" t="inlineStr">
        <is>
          <t>Unit</t>
        </is>
      </c>
      <c r="D14" s="7" t="inlineStr">
        <is>
          <t>Reference</t>
        </is>
      </c>
      <c r="E14" s="7" t="inlineStr"/>
      <c r="F14" s="7" t="inlineStr">
        <is>
          <t>Basis</t>
        </is>
      </c>
    </row>
    <row r="15" ht="26" customHeight="1">
      <c r="A15" s="16" t="inlineStr">
        <is>
          <t>Panel area, summed</t>
        </is>
      </c>
      <c r="B15" s="93">
        <f>SUM('Panel Cut List'!$F$6:$F$51)</f>
        <v/>
      </c>
      <c r="C15" s="19" t="inlineStr">
        <is>
          <t>SF</t>
        </is>
      </c>
      <c r="D15" s="76" t="n">
        <v>1402.315</v>
      </c>
      <c r="E15" s="23" t="n"/>
      <c r="F15" s="60" t="inlineStr">
        <is>
          <t>vs Roofr exact API polygon total — difference is rounding only.</t>
        </is>
      </c>
    </row>
    <row r="16" ht="26" customHeight="1">
      <c r="A16" s="16" t="inlineStr">
        <is>
          <t>Net-area footage equivalent</t>
        </is>
      </c>
      <c r="B16" s="93">
        <f>SUM('Panel Cut List'!$F$6:$F$51)/(NET_COVERAGE_IN/12)</f>
        <v/>
      </c>
      <c r="C16" s="19" t="inlineStr">
        <is>
          <t>LF</t>
        </is>
      </c>
      <c r="D16" s="23" t="n"/>
      <c r="E16" s="23" t="n"/>
      <c r="F16" s="60" t="inlineStr">
        <is>
          <t>Roof area ÷ 3 ft of coverage per foot of panel. The theoretical zero-waste minimum.</t>
        </is>
      </c>
    </row>
    <row r="17" ht="26" customHeight="1">
      <c r="A17" s="16" t="inlineStr">
        <is>
          <t>Coverage supplied</t>
        </is>
      </c>
      <c r="B17" s="93">
        <f>SUM('Blank List'!$F$6:$F$51)*NET_COVERAGE_IN/12</f>
        <v/>
      </c>
      <c r="C17" s="19" t="inlineStr">
        <is>
          <t>SF</t>
        </is>
      </c>
      <c r="D17" s="23" t="n"/>
      <c r="E17" s="23" t="n"/>
      <c r="F17" s="60" t="inlineStr">
        <is>
          <t>Ordered footage × 3 ft net coverage.</t>
        </is>
      </c>
    </row>
    <row r="18" ht="26" customHeight="1">
      <c r="A18" s="16" t="inlineStr">
        <is>
          <t>Shape-cut surplus</t>
        </is>
      </c>
      <c r="B18" s="93">
        <f>B17-B15</f>
        <v/>
      </c>
      <c r="C18" s="19" t="inlineStr">
        <is>
          <t>SF</t>
        </is>
      </c>
      <c r="D18" s="23" t="n"/>
      <c r="E18" s="23" t="n"/>
      <c r="F18" s="60" t="inlineStr">
        <is>
          <t>Material consumed by hip, valley and tapered blanks. This is cut waste, not extra stock.</t>
        </is>
      </c>
    </row>
    <row r="19" ht="26" customHeight="1">
      <c r="A19" s="16" t="inlineStr">
        <is>
          <t>Shape-cut surplus</t>
        </is>
      </c>
      <c r="B19" s="96">
        <f>B18/B15</f>
        <v/>
      </c>
      <c r="C19" s="19" t="inlineStr">
        <is>
          <t>%</t>
        </is>
      </c>
      <c r="D19" s="23" t="n"/>
      <c r="E19" s="23" t="n"/>
      <c r="F19" s="60" t="inlineStr">
        <is>
          <t>Typical for a hip roof with valleys on 36-in through-fastened panels.</t>
        </is>
      </c>
    </row>
    <row r="21" ht="20" customHeight="1">
      <c r="A21" s="6" t="inlineStr">
        <is>
          <t>AUTOMATED CHECKS</t>
        </is>
      </c>
    </row>
    <row r="22" ht="28" customHeight="1">
      <c r="A22" s="7" t="inlineStr">
        <is>
          <t>Check</t>
        </is>
      </c>
      <c r="B22" s="7" t="inlineStr">
        <is>
          <t>Result</t>
        </is>
      </c>
      <c r="C22" s="7" t="inlineStr">
        <is>
          <t>Value</t>
        </is>
      </c>
      <c r="D22" s="7" t="inlineStr">
        <is>
          <t>Threshold</t>
        </is>
      </c>
      <c r="E22" s="7" t="inlineStr"/>
      <c r="F22" s="7" t="inlineStr">
        <is>
          <t>Basis</t>
        </is>
      </c>
    </row>
    <row r="23" ht="28" customHeight="1">
      <c r="A23" s="16" t="inlineStr">
        <is>
          <t>Panel count</t>
        </is>
      </c>
      <c r="B23" s="75">
        <f>IF(COUNTA('Panel Cut List'!$A$6:$A$51)=46,"PASS","FAIL")</f>
        <v/>
      </c>
      <c r="C23" s="26">
        <f>COUNTA('Panel Cut List'!$A$6:$A$51)</f>
        <v/>
      </c>
      <c r="D23" s="23" t="n">
        <v>46</v>
      </c>
      <c r="E23" s="23" t="n"/>
      <c r="F23" s="60" t="inlineStr">
        <is>
          <t>One row per Roofr facet.</t>
        </is>
      </c>
    </row>
    <row r="24" ht="28" customHeight="1">
      <c r="A24" s="16" t="inlineStr">
        <is>
          <t>Panel IDs unique</t>
        </is>
      </c>
      <c r="B24" s="75">
        <f>IF(SUMPRODUCT(1/COUNTIF('Panel Cut List'!$A$6:$A$51,'Panel Cut List'!$A$6:$A$51))=46,"PASS","FAIL")</f>
        <v/>
      </c>
      <c r="C24" s="26">
        <f>SUMPRODUCT(1/COUNTIF('Panel Cut List'!$A$6:$A$51,'Panel Cut List'!$A$6:$A$51))</f>
        <v/>
      </c>
      <c r="D24" s="23" t="n">
        <v>46</v>
      </c>
      <c r="E24" s="23" t="n"/>
      <c r="F24" s="60" t="inlineStr">
        <is>
          <t>No duplicate or missing ID.</t>
        </is>
      </c>
    </row>
    <row r="25" ht="28" customHeight="1">
      <c r="A25" s="16" t="inlineStr">
        <is>
          <t>Every panel mapped to a blank</t>
        </is>
      </c>
      <c r="B25" s="75">
        <f>IF(COUNTA('Panel Cut List'!$U$6:$U$51)=46,"PASS","FAIL")</f>
        <v/>
      </c>
      <c r="C25" s="26">
        <f>COUNTA('Panel Cut List'!$U$6:$U$51)</f>
        <v/>
      </c>
      <c r="D25" s="23" t="n">
        <v>46</v>
      </c>
      <c r="E25" s="23" t="n"/>
      <c r="F25" s="60" t="inlineStr">
        <is>
          <t>Blank ref populated on every row.</t>
        </is>
      </c>
    </row>
    <row r="26" ht="28" customHeight="1">
      <c r="A26" s="16" t="inlineStr">
        <is>
          <t>Blank yields reconcile to panels</t>
        </is>
      </c>
      <c r="B26" s="75">
        <f>IF(COUNTA('Blank List'!$G$6:$G$51)+COUNTA('Blank List'!$H$6:$H$51)=46,"PASS","FAIL")</f>
        <v/>
      </c>
      <c r="C26" s="26">
        <f>COUNTA('Blank List'!$G$6:$G$51)+COUNTA('Blank List'!$H$6:$H$51)</f>
        <v/>
      </c>
      <c r="D26" s="23" t="n">
        <v>46</v>
      </c>
      <c r="E26" s="23" t="n"/>
      <c r="F26" s="60" t="inlineStr">
        <is>
          <t>Every blank's yielded panels sum to the installed count.</t>
        </is>
      </c>
    </row>
    <row r="27" ht="28" customHeight="1">
      <c r="A27" s="16" t="inlineStr">
        <is>
          <t>Minimum cut length</t>
        </is>
      </c>
      <c r="B27" s="75">
        <f>IF(MIN('Panel Cut List'!$P$6:$P$51)&gt;=MIN_CUT_IN,"PASS","FAIL")</f>
        <v/>
      </c>
      <c r="C27" s="26">
        <f>MIN('Panel Cut List'!$P$6:$P$51)</f>
        <v/>
      </c>
      <c r="D27" s="23">
        <f>MIN_CUT_IN</f>
        <v/>
      </c>
      <c r="E27" s="23" t="n"/>
      <c r="F27" s="60" t="inlineStr">
        <is>
          <t>Shortest ordered length vs the supplier minimum.</t>
        </is>
      </c>
    </row>
    <row r="28" ht="28" customHeight="1">
      <c r="A28" s="16" t="inlineStr">
        <is>
          <t>Minimum-length rule actually binds</t>
        </is>
      </c>
      <c r="B28" s="75">
        <f>IF(COUNTIF('Panel Cut List'!$L$6:$L$51,"&lt;"&amp;MIN_CUT_IN)=0,"NO — informational only","YES")</f>
        <v/>
      </c>
      <c r="C28" s="26">
        <f>COUNTIF('Panel Cut List'!$L$6:$L$51,"&lt;"&amp;MIN_CUT_IN)</f>
        <v/>
      </c>
      <c r="D28" s="23" t="n">
        <v>0</v>
      </c>
      <c r="E28" s="23" t="n"/>
      <c r="F28" s="60" t="inlineStr">
        <is>
          <t>v1 claimed 1.84 LF of minimum-length addition. No run is below the minimum; that footage is whole-inch rounding.</t>
        </is>
      </c>
    </row>
    <row r="29" ht="28" customHeight="1">
      <c r="A29" s="16" t="inlineStr">
        <is>
          <t>No order length shorter than its run</t>
        </is>
      </c>
      <c r="B29" s="75">
        <f>IF(SUMPRODUCT(--('Panel Cut List'!$P$6:$P$51&lt;'Panel Cut List'!$L$6:$L$51))=0,"PASS","FAIL")</f>
        <v/>
      </c>
      <c r="C29" s="26">
        <f>SUMPRODUCT(--('Panel Cut List'!$P$6:$P$51&lt;'Panel Cut List'!$L$6:$L$51))</f>
        <v/>
      </c>
      <c r="D29" s="23" t="n">
        <v>0</v>
      </c>
      <c r="E29" s="23" t="n"/>
      <c r="F29" s="60" t="inlineStr">
        <is>
          <t>A panel short of its run is scrap.</t>
        </is>
      </c>
    </row>
    <row r="30" ht="28" customHeight="1">
      <c r="A30" s="16" t="inlineStr">
        <is>
          <t>One fabrication length per plane per run group</t>
        </is>
      </c>
      <c r="B30" s="75">
        <f>IF(COUNTIFS('Panel Cut List'!$B$6:$B$51,"E",'Panel Cut List'!$L$6:$L$51,204)=7,"PASS","FAIL")</f>
        <v/>
      </c>
      <c r="C30" s="26">
        <f>COUNTIFS('Panel Cut List'!$B$6:$B$51,"E",'Panel Cut List'!$L$6:$L$51,204)</f>
        <v/>
      </c>
      <c r="D30" s="23" t="n">
        <v>7</v>
      </c>
      <c r="E30" s="23" t="n"/>
      <c r="F30" s="60" t="inlineStr">
        <is>
          <t>v1 split plane E across 204 in and 205 in for identical 17.000 ft runs — corrected.</t>
        </is>
      </c>
    </row>
    <row r="31" ht="28" customHeight="1">
      <c r="A31" s="16" t="inlineStr">
        <is>
          <t>Rip strips identified</t>
        </is>
      </c>
      <c r="B31" s="75">
        <f>IF(COUNTIF('Panel Cut List'!$T$6:$T$51,"RIP")=4,"PASS","CHECK")</f>
        <v/>
      </c>
      <c r="C31" s="26">
        <f>COUNTIF('Panel Cut List'!$T$6:$T$51,"RIP")</f>
        <v/>
      </c>
      <c r="D31" s="23" t="n">
        <v>4</v>
      </c>
      <c r="E31" s="23" t="n"/>
      <c r="F31" s="60" t="inlineStr">
        <is>
          <t>H01, H11, I01, I11 are ~6-in strips, not full-width panels.</t>
        </is>
      </c>
    </row>
    <row r="32" ht="28" customHeight="1">
      <c r="A32" s="16" t="inlineStr">
        <is>
          <t>Plane width vs blanks — D</t>
        </is>
      </c>
      <c r="B32" s="75">
        <f>IF(ROUNDUP(C32/NET_COVERAGE_IN,0)=9,"PASS","FAIL")</f>
        <v/>
      </c>
      <c r="C32" s="26">
        <f>SUMIF('Panel Cut List'!$B$6:$B$51,"D",'Panel Cut List'!$S$6:$S$51)</f>
        <v/>
      </c>
      <c r="D32" s="23" t="n">
        <v>9</v>
      </c>
      <c r="E32" s="23" t="n"/>
      <c r="F32" s="60" t="inlineStr">
        <is>
          <t>Σ facet widths ÷ 36 in, rounded up, must equal the blanks ordered for the plane.</t>
        </is>
      </c>
    </row>
    <row r="33" ht="28" customHeight="1">
      <c r="A33" s="16" t="inlineStr">
        <is>
          <t>Eave-flag audit (informational)</t>
        </is>
      </c>
      <c r="B33" s="75">
        <f>"INFO"</f>
        <v/>
      </c>
      <c r="C33" s="26">
        <f>SUMIF('Panel Cut List'!$J$6:$J$51,"Y",'Panel Cut List'!$S$6:$S$51)/12</f>
        <v/>
      </c>
      <c r="D33" s="23" t="n">
        <v>90.7</v>
      </c>
      <c r="E33" s="23" t="n"/>
      <c r="F33" s="60" t="inlineStr">
        <is>
          <t>Σ width of projection-flagged panels = true eave 64'-1" + the upper face's 26'-7" pitch-break lap line + the hip-cut end panels. All retained: every one is safe in the ordered direction (excess trims at the top under trim).</t>
        </is>
      </c>
    </row>
    <row r="34" ht="28" customHeight="1">
      <c r="A34" s="16" t="inlineStr">
        <is>
          <t>Trim edge basis</t>
        </is>
      </c>
      <c r="B34" s="75">
        <f>"SITE-VERIFIED"</f>
        <v/>
      </c>
      <c r="C34" s="26">
        <f>64.08</f>
        <v/>
      </c>
      <c r="D34" s="23" t="n">
        <v>64.08</v>
      </c>
      <c r="E34" s="23" t="n"/>
      <c r="F34" s="60" t="inlineStr">
        <is>
          <t>Perimeter test: site eaves+rakes 155'-11" vs 153'-02" outline = +2.7 ft PASS; strip drawing 178'-11" = +25.8 ft impossible. Site report governs trim.</t>
        </is>
      </c>
    </row>
    <row r="35" ht="28" customHeight="1">
      <c r="A35" s="16" t="inlineStr">
        <is>
          <t>Colour control</t>
        </is>
      </c>
      <c r="B35" s="75">
        <f>"CHIP AT ACK"</f>
        <v/>
      </c>
      <c r="C35" s="26">
        <f>4.9</f>
        <v/>
      </c>
      <c r="D35" s="23" t="inlineStr">
        <is>
          <t>physical chip</t>
        </is>
      </c>
      <c r="E35" s="23" t="n"/>
      <c r="F35" s="60" t="inlineStr">
        <is>
          <t>Medium Bronze PVDF ordered; chip ships with the acknowledgment (A1); customer signs before the coil run.</t>
        </is>
      </c>
    </row>
  </sheetData>
  <mergeCells count="5">
    <mergeCell ref="A13:F13"/>
    <mergeCell ref="A5:F5"/>
    <mergeCell ref="A1:F2"/>
    <mergeCell ref="A3:F3"/>
    <mergeCell ref="A21:F21"/>
  </mergeCells>
  <printOptions horizontalCentered="1"/>
  <pageMargins left="0.35" right="0.35" top="0.45" bottom="0.45" header="0.5" footer="0.5"/>
  <pageSetup orientation="landscape" paperSize="1" fitToHeight="0" fitToWidth="1"/>
</worksheet>
</file>

<file path=xl/worksheets/sheet14.xml><?xml version="1.0" encoding="utf-8"?>
<worksheet xmlns="http://schemas.openxmlformats.org/spreadsheetml/2006/main">
  <sheetPr>
    <outlinePr summaryBelow="1" summaryRight="1"/>
    <pageSetUpPr fitToPage="1"/>
  </sheetPr>
  <dimension ref="A1:E22"/>
  <sheetViews>
    <sheetView workbookViewId="0">
      <selection activeCell="A1" sqref="A1"/>
    </sheetView>
  </sheetViews>
  <sheetFormatPr baseColWidth="8" defaultRowHeight="15"/>
  <cols>
    <col width="8" customWidth="1" min="1" max="1"/>
    <col width="11" customWidth="1" min="2" max="2"/>
    <col width="40" customWidth="1" min="3" max="3"/>
    <col width="62" customWidth="1" min="4" max="4"/>
    <col width="62" customWidth="1" min="5" max="5"/>
  </cols>
  <sheetData>
    <row r="1" ht="24" customHeight="1">
      <c r="A1" s="1" t="inlineStr">
        <is>
          <t>COLLINS — CORRECTIONS APPLIED, v1 → v3</t>
        </is>
      </c>
      <c r="B1" s="2" t="n"/>
      <c r="C1" s="2" t="n"/>
      <c r="D1" s="2" t="n"/>
      <c r="E1" s="2" t="n"/>
    </row>
    <row r="2" ht="16" customHeight="1">
      <c r="A2" s="2" t="n"/>
      <c r="B2" s="2" t="n"/>
      <c r="C2" s="2" t="n"/>
      <c r="D2" s="2" t="n"/>
      <c r="E2" s="2" t="n"/>
    </row>
    <row r="3" ht="15" customHeight="1">
      <c r="A3" s="3" t="inlineStr">
        <is>
          <t>Each row is verifiable against the retained v1 artifacts.</t>
        </is>
      </c>
    </row>
    <row r="5" ht="28" customHeight="1">
      <c r="A5" s="7" t="inlineStr">
        <is>
          <t>Ref</t>
        </is>
      </c>
      <c r="B5" s="7" t="inlineStr">
        <is>
          <t>Severity</t>
        </is>
      </c>
      <c r="C5" s="7" t="inlineStr">
        <is>
          <t>Finding</t>
        </is>
      </c>
      <c r="D5" s="7" t="inlineStr">
        <is>
          <t>Evidence in v1</t>
        </is>
      </c>
      <c r="E5" s="7" t="inlineStr">
        <is>
          <t>Correction in v2</t>
        </is>
      </c>
    </row>
    <row r="6" ht="62" customHeight="1">
      <c r="A6" s="24" t="inlineStr">
        <is>
          <t>C-01</t>
        </is>
      </c>
      <c r="B6" s="97" t="inlineStr">
        <is>
          <t>HIGH</t>
        </is>
      </c>
      <c r="C6" s="98" t="inlineStr">
        <is>
          <t>Order length rule was not applied consistently</t>
        </is>
      </c>
      <c r="D6" s="60" t="inlineStr">
        <is>
          <t>v1 cut list column O carried a hard-coded 'Exact run in' that cannot be derived from any other column. Four panels on plane E (E03–E06) carried 205 in while E01, E02 and E07 — same plane, same measured 17.000 ft run — carried 204 in.</t>
        </is>
      </c>
      <c r="E6" s="60" t="inlineStr">
        <is>
          <t>One fabrication run per roof plane, computed as CEILING(measured run × 12). Plane E = 204 in for all seven full-length panels; plane D = 205 in. −4 in total.</t>
        </is>
      </c>
    </row>
    <row r="7" ht="62" customHeight="1">
      <c r="A7" s="24" t="inlineStr">
        <is>
          <t>C-02</t>
        </is>
      </c>
      <c r="B7" s="97" t="inlineStr">
        <is>
          <t>HIGH</t>
        </is>
      </c>
      <c r="C7" s="98" t="inlineStr">
        <is>
          <t>Four facets are 6-inch rips, not panels</t>
        </is>
      </c>
      <c r="D7" s="60" t="inlineStr">
        <is>
          <t>H01 (5.8 in), H11 (6.1 in), I01 (5.7 in) and I11 (6.0 in) are ~6-inch-wide slivers. v1 ordered each as a separate full-width blank and never disclosed their width anywhere in the package.</t>
        </is>
      </c>
      <c r="E7" s="60" t="inlineStr">
        <is>
          <t>Panel width is now a published column and the rips are a first-class plan: DECIDED 2026-07-28 — order all 46 blanks (no spares), rip the four edge panels lengthwise in the field, cut edge buried under rake trim, offcuts retained as stock.</t>
        </is>
      </c>
    </row>
    <row r="8" ht="62" customHeight="1">
      <c r="A8" s="24" t="inlineStr">
        <is>
          <t>C-03</t>
        </is>
      </c>
      <c r="B8" s="97" t="inlineStr">
        <is>
          <t>HIGH</t>
        </is>
      </c>
      <c r="C8" s="98" t="inlineStr">
        <is>
          <t>'Minimum-length addition 1.84 LF' is false</t>
        </is>
      </c>
      <c r="D8" s="60" t="inlineStr">
        <is>
          <t>v1 stated on the packet and in QC that 1.84 LF was a minimum-length effect applied 'only where the measured run is under 36 in'. No panel run is under 36 in — the shortest is 37 in — so the Ibex minimum never binds. The 1.84 LF is whole-inch fabrication round-up.</t>
        </is>
      </c>
      <c r="E8" s="60" t="inlineStr">
        <is>
          <t>Relabelled and recomputed as whole-inch fabrication rounding, shown per panel and in total.</t>
        </is>
      </c>
    </row>
    <row r="9" ht="62" customHeight="1">
      <c r="A9" s="24" t="inlineStr">
        <is>
          <t>C-04</t>
        </is>
      </c>
      <c r="B9" s="97" t="inlineStr">
        <is>
          <t>HIGH</t>
        </is>
      </c>
      <c r="C9" s="98" t="inlineStr">
        <is>
          <t>Waste reconciliation arithmetic is wrong</t>
        </is>
      </c>
      <c r="D9" s="60" t="inlineStr">
        <is>
          <t>v1 packet page 3 stated a '66.00 LF difference between ordered footage and the 467.33-LF net-area equivalent'. 549.33 − 467.33 = 82.00, not 66.00.</t>
        </is>
      </c>
      <c r="E9" s="60" t="inlineStr">
        <is>
          <t>Full reconciliation rebuilt from the panel table and shown as an auditable chain.</t>
        </is>
      </c>
    </row>
    <row r="10" ht="62" customHeight="1">
      <c r="A10" s="24" t="inlineStr">
        <is>
          <t>C-05</t>
        </is>
      </c>
      <c r="B10" s="97" t="inlineStr">
        <is>
          <t>HIGH</t>
        </is>
      </c>
      <c r="C10" s="98" t="inlineStr">
        <is>
          <t>Panel width was absent from the entire package</t>
        </is>
      </c>
      <c r="D10" s="60" t="inlineStr">
        <is>
          <t>Neither the cut list, the grouped order, the PDF nor the layouts carried a panel width. A fabricator reading v1 would cut 46 full-width blanks; the field crew had no way to know four of them are rips.</t>
        </is>
      </c>
      <c r="E10" s="60" t="inlineStr">
        <is>
          <t>Width and blank role (FULL / RIP) are now first-class columns and are drawn on the layouts.</t>
        </is>
      </c>
    </row>
    <row r="11" ht="62" customHeight="1">
      <c r="A11" s="24" t="inlineStr">
        <is>
          <t>C-06</t>
        </is>
      </c>
      <c r="B11" s="97" t="inlineStr">
        <is>
          <t>HIGH</t>
        </is>
      </c>
      <c r="C11" s="98" t="inlineStr">
        <is>
          <t>Four panels were missing from every layout drawing</t>
        </is>
      </c>
      <c r="D11" s="60" t="inlineStr">
        <is>
          <t>H01, H11, I01 and I11 are drawn in the v1 layouts but carry no label, so the layouts show 42 identified panels against a 46-panel cut list.</t>
        </is>
      </c>
      <c r="E11" s="60" t="inlineStr">
        <is>
          <t>All 46 IDs are labelled on the plane drawings, with rips called out in a distinct style.</t>
        </is>
      </c>
    </row>
    <row r="12" ht="62" customHeight="1">
      <c r="A12" s="24" t="inlineStr">
        <is>
          <t>C-07</t>
        </is>
      </c>
      <c r="B12" s="27" t="inlineStr">
        <is>
          <t>MEDIUM</t>
        </is>
      </c>
      <c r="C12" s="98" t="inlineStr">
        <is>
          <t>Eave-flag reconciliation was never performed</t>
        </is>
      </c>
      <c r="D12" s="60" t="inlineStr">
        <is>
          <t>v1 applied the 6-in projection to 32 panels. Σ width of the eave-flagged panels is 96.3 LF against a Roofr eave measurement of 90.34 LF — a 5.9 LF over-count that corresponds almost exactly to D09 + E01, the two hip-cut panels.</t>
        </is>
      </c>
      <c r="E12" s="60" t="inlineStr">
        <is>
          <t>Reconciliation is published. The 6-in projection is retained on all 32 (a long panel can be trimmed, a short one is scrap) and the discrepancy is raised as RFI-02.</t>
        </is>
      </c>
    </row>
    <row r="13" ht="62" customHeight="1">
      <c r="A13" s="24" t="inlineStr">
        <is>
          <t>C-08</t>
        </is>
      </c>
      <c r="B13" s="97" t="inlineStr">
        <is>
          <t>HIGH</t>
        </is>
      </c>
      <c r="C13" s="98" t="inlineStr">
        <is>
          <t>Fastener and closure quantities were magic numbers</t>
        </is>
      </c>
      <c r="D13" s="60" t="inlineStr">
        <is>
          <t>1500 screws, 500 stitch screws, 60/120/110 LF of closure and 10 rolls of butyl appeared with no derivation. The stated pattern — 'rows no more than 5 ft O.C.' — was attributed to a different manufacturer and is an open-framing purlin spacing, not a solid-deck spec.</t>
        </is>
      </c>
      <c r="E13" s="60" t="inlineStr">
        <is>
          <t>Every accessory quantity is now a published formula driven by the panel table, at a 24-in solid-deck row spacing, with the spacing itself raised as RFI-04.</t>
        </is>
      </c>
    </row>
    <row r="14" ht="62" customHeight="1">
      <c r="A14" s="24" t="inlineStr">
        <is>
          <t>C-09</t>
        </is>
      </c>
      <c r="B14" s="27" t="inlineStr">
        <is>
          <t>MEDIUM</t>
        </is>
      </c>
      <c r="C14" s="98" t="inlineStr">
        <is>
          <t>Drip-edge drawing was not fabricable as issued</t>
        </is>
      </c>
      <c r="D14" s="60" t="inlineStr">
        <is>
          <t>KR-COL-ED-01 Rev A gave finished legs but no flat blank width, showed one brake angle for a three-pitch job, and its own dimension callouts overlapped the profile line.</t>
        </is>
      </c>
      <c r="E14" s="60" t="inlineStr">
        <is>
          <t>Rev B publishes the flat girth, a per-pitch brake-angle schedule, a bend-deduction note, and a clean profile with non-overlapping callouts.</t>
        </is>
      </c>
    </row>
    <row r="15" ht="62" customHeight="1">
      <c r="A15" s="24" t="inlineStr">
        <is>
          <t>C-10</t>
        </is>
      </c>
      <c r="B15" s="97" t="inlineStr">
        <is>
          <t>HIGH</t>
        </is>
      </c>
      <c r="C15" s="98" t="inlineStr">
        <is>
          <t>No release gate existed on the length basis</t>
        </is>
      </c>
      <c r="D15" s="60" t="inlineStr">
        <is>
          <t>v1 removed the 2-in/panel allowance and stated 'no blanket field-cut allowance remains' as a virtue. 44 non-returnable custom-length panels were about to be released against aerial measurements with zero verification step.</t>
        </is>
      </c>
      <c r="E15" s="60" t="inlineStr">
        <is>
          <t>A mandatory five-line field run verification (one per plane) is now the first release gate, and the workbook carries an editable allowance cell so the basis can be changed in one place.</t>
        </is>
      </c>
    </row>
    <row r="16" ht="62" customHeight="1">
      <c r="A16" s="24" t="inlineStr">
        <is>
          <t>C-11</t>
        </is>
      </c>
      <c r="B16" s="97" t="inlineStr">
        <is>
          <t>HIGH</t>
        </is>
      </c>
      <c r="C16" s="98" t="inlineStr">
        <is>
          <t>'Weathered Copper is not an Ibex colour' was only half true</t>
        </is>
      </c>
      <c r="D16" s="60" t="inlineStr">
        <is>
          <t>v1 recorded that Weathered Copper is not a 24 ga PVDF colour and moved to Medium Bronze. Ibex does publish Weathered Copper — in its Smooth (SMP-class) family — and lists it as available on the PBR profile. The customer's named colour was obtainable from the same supplier all along, in a different coating class.</t>
        </is>
      </c>
      <c r="E16" s="60" t="inlineStr">
        <is>
          <t>The colour page now presents three real routes with their coating classes and warranties (Ibex Medium Bronze PVDF / Ibex Weathered Copper SMP / Metal Sales Weathered Copper W50 PVDF) and the decision is a gate, not a recommendation.</t>
        </is>
      </c>
    </row>
    <row r="17" ht="62" customHeight="1">
      <c r="A17" s="24" t="inlineStr">
        <is>
          <t>C-12</t>
        </is>
      </c>
      <c r="B17" s="27" t="inlineStr">
        <is>
          <t>MEDIUM</t>
        </is>
      </c>
      <c r="C17" s="98" t="inlineStr">
        <is>
          <t>Cut-edge coating was specified against every manufacturer's instruction</t>
        </is>
      </c>
      <c r="D17" s="60" t="inlineStr">
        <is>
          <t>v1 ordered a 'manufacturer-approved edge coating' kit 'for approved cut-edge treatment'. No manufacturer reviewed instructs painting a cut edge. Metal Sales scopes touch-up to handling scratches and warns it weathers faster than the factory finish; AEP Span explains a sheared edge is self-protecting because the metallic coating is sacrificial.</t>
        </is>
      </c>
      <c r="E17" s="60" t="inlineStr">
        <is>
          <t>The line is now a touch-up kit for handling damage only, and the field-cutting rules — shear-type tools, no abrasive or heat-generating blades, cut face down, remove all swarf — are published as a fabrication control.</t>
        </is>
      </c>
    </row>
    <row r="18" ht="62" customHeight="1">
      <c r="A18" s="24" t="inlineStr">
        <is>
          <t>C-13</t>
        </is>
      </c>
      <c r="B18" s="97" t="inlineStr">
        <is>
          <t>HIGH</t>
        </is>
      </c>
      <c r="C18" s="98" t="inlineStr">
        <is>
          <t>Closure map did not match the manufacturer's own details</t>
        </is>
      </c>
      <c r="D18" s="60" t="inlineStr">
        <is>
          <t>v1 ordered 60 LF of rigid outside closure for 'ridge, plus profile-matched closures' and 120 LF of inside closure for 'ridge and transition'. Ibex's ridge detail treats the vent as the substitute for the outside closure, its eave detail requires an inside closure, and its pitch-break detail requires BOTH an inside and an outside closure. No vent material was ordered at all.</t>
        </is>
      </c>
      <c r="E18" s="60" t="inlineStr">
        <is>
          <t>Outside closure = hip + pitch break; inside closure = eave + pitch break; vent material is its own line at the ridge length; valley closure is the continuous expanding roll because a die-cut closure will not fit a raked cut. Side-lap stitch spacing corrected from 24 in to the 12 in o.c. that Metal Sales and Homewood both publish.</t>
        </is>
      </c>
    </row>
    <row r="19" ht="62" customHeight="1">
      <c r="A19" s="24" t="inlineStr">
        <is>
          <t>C-14</t>
        </is>
      </c>
      <c r="B19" s="97" t="inlineStr">
        <is>
          <t>HIGH</t>
        </is>
      </c>
      <c r="C19" s="98" t="inlineStr">
        <is>
          <t>Trim was quantified on edges that do not exist</t>
        </is>
      </c>
      <c r="D19" s="60" t="inlineStr">
        <is>
          <t>v1 took every edge total from the 46-strip drawing, which counts internal strip seams as edges: its eaves+rakes total 178'-11" against a 153'-02" building perimeter — impossible by 25.8 ft. Hips read 1.99x and valleys 1.88x the site-verified values.</t>
        </is>
      </c>
      <c r="E19" s="60" t="inlineStr">
        <is>
          <t>Trim now derives from the 2026-04-01 site-inspection report, which passes the perimeter test (+2.7 ft, normal overhang). Stick counts are computed per physical run, not by total-LF division. Net: 49 sticks -&gt; 46 across 8 families, including the Approach B gable shelf the contract includes that v1 never ordered.</t>
        </is>
      </c>
    </row>
    <row r="20" ht="62" customHeight="1">
      <c r="A20" s="24" t="inlineStr">
        <is>
          <t>C-15</t>
        </is>
      </c>
      <c r="B20" s="97" t="inlineStr">
        <is>
          <t>HIGH</t>
        </is>
      </c>
      <c r="C20" s="98" t="inlineStr">
        <is>
          <t>26 feet of 'eave' was actually the pitch-break line</t>
        </is>
      </c>
      <c r="D20" s="60" t="inlineStr">
        <is>
          <t>The strip drawing classes the bottom edge of the upper front face (11/12) as 26'-3" of eave. That line is the porch transition — the same line the drawing itself carries as 28'-0" of pitch break on the porch side. Site eave 64'-1" equals the drawing's own 4/12 + 8/12 eaves to the inch.</t>
        </is>
      </c>
      <c r="E20" s="60" t="inlineStr">
        <is>
          <t>Drip edge, rat guard and inside closure quantities re-based to the true 64'-1" eave. The 6-in addition on the upper-face panels is retained as pitch-break lap allowance — their tops trim under ridge/hip cap, so length is safe in the ordered direction.</t>
        </is>
      </c>
    </row>
    <row r="21" ht="62" customHeight="1">
      <c r="A21" s="24" t="inlineStr">
        <is>
          <t>C-16</t>
        </is>
      </c>
      <c r="B21" s="27" t="inlineStr">
        <is>
          <t>MEDIUM</t>
        </is>
      </c>
      <c r="C21" s="98" t="inlineStr">
        <is>
          <t>The pitch break spans 4/12 to 11/12, not 4/12 to 9/12</t>
        </is>
      </c>
      <c r="D21" s="60" t="inlineStr">
        <is>
          <t>v1 ordered the 04B pitch break as a '4/12-to-9/12 transition' from the proposal's nominal main pitch. The drawing geometry puts the 28-ft break at the top of the porch roof where it meets the 11/12 upper face; the 8/12 main slopes never touch this line.</t>
        </is>
      </c>
      <c r="E21" s="60" t="inlineStr">
        <is>
          <t>Order specifies 4/12 lower / 11/12 upper (included angle ~156 deg) with a field template to the brake shop before forming.</t>
        </is>
      </c>
    </row>
    <row r="22" ht="62" customHeight="1">
      <c r="A22" s="24" t="inlineStr">
        <is>
          <t>C-17</t>
        </is>
      </c>
      <c r="B22" s="97" t="inlineStr">
        <is>
          <t>HIGH</t>
        </is>
      </c>
      <c r="C22" s="98" t="inlineStr">
        <is>
          <t>The four edge strips were ordered 6 inches short</t>
        </is>
      </c>
      <c r="D22" s="60" t="inlineStr">
        <is>
          <t>H01/H11 (porch) and I01/I11 (upper face) carried no eave/lap flag in the drawing, so v1 and every draft since ordered them at the bare run — 6 in shorter than the panels beside them. Their areas prove they run the full plane (the drawn porch eave is short by exactly the two 6-in strips), so as drafted they would land 6 in short of the drip line / break lap — the one direction that scraps a blank. Caught by the adversarial verification pass on the rendered cut tables.</t>
        </is>
      </c>
      <c r="E22" s="60" t="inlineStr">
        <is>
          <t>Projection flags set on all four (C-17). H01/H11 join the 10'-05" group, I01/I11 the 8'-07" group: 46 blanks, 14 cut lengths, 551.00 LF.</t>
        </is>
      </c>
    </row>
  </sheetData>
  <mergeCells count="2">
    <mergeCell ref="A1:E2"/>
    <mergeCell ref="A3:E3"/>
  </mergeCells>
  <printOptions horizontalCentered="1"/>
  <pageMargins left="0.35" right="0.35" top="0.45" bottom="0.45" header="0.5" footer="0.5"/>
  <pageSetup orientation="landscape" paperSize="1" fitToHeight="0" fitToWidth="1"/>
</worksheet>
</file>

<file path=xl/worksheets/sheet15.xml><?xml version="1.0" encoding="utf-8"?>
<worksheet xmlns="http://schemas.openxmlformats.org/spreadsheetml/2006/main">
  <sheetPr>
    <outlinePr summaryBelow="1" summaryRight="1"/>
    <pageSetUpPr fitToPage="1"/>
  </sheetPr>
  <dimension ref="A1:E25"/>
  <sheetViews>
    <sheetView workbookViewId="0">
      <selection activeCell="A1" sqref="A1"/>
    </sheetView>
  </sheetViews>
  <sheetFormatPr baseColWidth="8" defaultRowHeight="15"/>
  <cols>
    <col width="9" customWidth="1" min="1" max="1"/>
    <col width="26" customWidth="1" min="2" max="2"/>
    <col width="4" customWidth="1" min="3" max="3"/>
    <col width="4" customWidth="1" min="4" max="4"/>
    <col width="132" customWidth="1" min="5" max="5"/>
  </cols>
  <sheetData>
    <row r="1" ht="24" customHeight="1">
      <c r="A1" s="1" t="inlineStr">
        <is>
          <t>COLLINS — SUPPLIER CONFIRMATIONS, ON THE ORDER</t>
        </is>
      </c>
      <c r="B1" s="2" t="n"/>
      <c r="C1" s="2" t="n"/>
      <c r="D1" s="2" t="n"/>
      <c r="E1" s="2" t="n"/>
    </row>
    <row r="2" ht="16" customHeight="1">
      <c r="A2" s="2" t="n"/>
      <c r="B2" s="2" t="n"/>
      <c r="C2" s="2" t="n"/>
      <c r="D2" s="2" t="n"/>
      <c r="E2" s="2" t="n"/>
    </row>
    <row r="3" ht="15" customHeight="1">
      <c r="A3" s="3" t="inlineStr">
        <is>
          <t>These lines are printed on the order form and come back answered on the Ibex order acknowledgment. They are instructions to the supplier — the order is complete and send-ready as issued.</t>
        </is>
      </c>
    </row>
    <row r="5" ht="28" customHeight="1">
      <c r="A5" s="7" t="inlineStr">
        <is>
          <t>Ref</t>
        </is>
      </c>
      <c r="B5" s="7" t="inlineStr">
        <is>
          <t>Subject</t>
        </is>
      </c>
      <c r="C5" s="7" t="inlineStr"/>
      <c r="D5" s="7" t="inlineStr"/>
      <c r="E5" s="7" t="inlineStr">
        <is>
          <t>Instruction to supplier</t>
        </is>
      </c>
    </row>
    <row r="6" ht="44" customHeight="1">
      <c r="A6" s="24" t="inlineStr">
        <is>
          <t>A1</t>
        </is>
      </c>
      <c r="B6" s="16" t="inlineStr">
        <is>
          <t>Coil &amp; color</t>
        </is>
      </c>
      <c r="C6" s="23" t="n"/>
      <c r="D6" s="23" t="n"/>
      <c r="E6" s="60" t="inlineStr">
        <is>
          <t>Confirm 24 ga PVDF PBR in Medium Bronze is a produced combination, with steel grade (50 vs 80) and lead time. Ship one physical 24 ga chip with the acknowledgment for customer sign-off before the coil run.</t>
        </is>
      </c>
    </row>
    <row r="7" ht="44" customHeight="1">
      <c r="A7" s="24" t="inlineStr">
        <is>
          <t>A2</t>
        </is>
      </c>
      <c r="B7" s="16" t="inlineStr">
        <is>
          <t>Fastening spec</t>
        </is>
      </c>
      <c r="C7" s="23" t="n"/>
      <c r="D7" s="23" t="n"/>
      <c r="E7" s="60" t="inlineStr">
        <is>
          <t>Provide in writing: fastener row spacing for a solid deck at Coeur d'Alene design loads, screw type/gauge/length, minimum embedment, and the panel base metal (Galvalume vs G90) for fastener compatibility. Quantities on this order are computed at 24 in o.c. rows + doubled eave/ridge rows and are sufficient for any published pattern down to 16 in o.c.</t>
        </is>
      </c>
    </row>
    <row r="8" ht="44" customHeight="1">
      <c r="A8" s="24" t="inlineStr">
        <is>
          <t>A3</t>
        </is>
      </c>
      <c r="B8" s="16" t="inlineStr">
        <is>
          <t>Single-piece lengths</t>
        </is>
      </c>
      <c r="C8" s="23" t="n"/>
      <c r="D8" s="23" t="n"/>
      <c r="E8" s="60" t="inlineStr">
        <is>
          <t>Confirm the longest blank on this order (17'-07") ships as one piece. No endlaps are planned on this roof.</t>
        </is>
      </c>
    </row>
    <row r="9" ht="44" customHeight="1">
      <c r="A9" s="24" t="inlineStr">
        <is>
          <t>A4</t>
        </is>
      </c>
      <c r="B9" s="16" t="inlineStr">
        <is>
          <t>Rib height</t>
        </is>
      </c>
      <c r="C9" s="23" t="n"/>
      <c r="D9" s="23" t="n"/>
      <c r="E9" s="60" t="inlineStr">
        <is>
          <t>Confirm PBR rib height as produced (spec sheet says 1-3/16 in, catalog says 1-1/4 in) so closures and trim fit as ordered.</t>
        </is>
      </c>
    </row>
    <row r="10" ht="44" customHeight="1">
      <c r="A10" s="24" t="inlineStr">
        <is>
          <t>A5</t>
        </is>
      </c>
      <c r="B10" s="16" t="inlineStr">
        <is>
          <t>Drip-edge blank</t>
        </is>
      </c>
      <c r="C10" s="23" t="n"/>
      <c r="D10" s="23" t="n"/>
      <c r="E10" s="60" t="inlineStr">
        <is>
          <t>KR-COL-ED-01 Rev B girth sums to 10-1/4 in. If a 10 in stock slit width is preferred, reduce the face from 3-1/4 in to 3 in and note it on the acknowledgment — either is accepted. Confirm max hemmed piece length ≥ 10 ft.</t>
        </is>
      </c>
    </row>
    <row r="11" ht="44" customHeight="1">
      <c r="A11" s="24" t="inlineStr">
        <is>
          <t>A6</t>
        </is>
      </c>
      <c r="B11" s="16" t="inlineStr">
        <is>
          <t>Pitch-break angle</t>
        </is>
      </c>
      <c r="C11" s="23" t="n"/>
      <c r="D11" s="23" t="n"/>
      <c r="E11" s="60" t="inlineStr">
        <is>
          <t>Form the 04B Jumbo Pitch Break for a 4/12 lower / 11/12 upper transition (included angle ≈ 156°). Ketron will supply a field template with the Phase-2 confirmation call before forming.</t>
        </is>
      </c>
    </row>
    <row r="12" ht="44" customHeight="1">
      <c r="A12" s="24" t="inlineStr">
        <is>
          <t>A7</t>
        </is>
      </c>
      <c r="B12" s="16" t="inlineStr">
        <is>
          <t>Vented ridge NFA</t>
        </is>
      </c>
      <c r="C12" s="23" t="n"/>
      <c r="D12" s="23" t="n"/>
      <c r="E12" s="60" t="inlineStr">
        <is>
          <t>State the net free area of the supplied ridge vent material so intake balance can be documented at install.</t>
        </is>
      </c>
    </row>
    <row r="14" ht="20" customHeight="1">
      <c r="A14" s="6" t="inlineStr">
        <is>
          <t>ORDER CONTROL CHECKLIST — mirrored from the Order Control sheet</t>
        </is>
      </c>
    </row>
    <row r="15" ht="28" customHeight="1">
      <c r="A15" s="7" t="inlineStr">
        <is>
          <t>Ref</t>
        </is>
      </c>
      <c r="B15" s="7" t="inlineStr">
        <is>
          <t>Item</t>
        </is>
      </c>
      <c r="C15" s="7" t="inlineStr">
        <is>
          <t>Status</t>
        </is>
      </c>
      <c r="D15" s="7" t="inlineStr"/>
      <c r="E15" s="7" t="inlineStr">
        <is>
          <t>Evidence</t>
        </is>
      </c>
    </row>
    <row r="16" ht="36" customHeight="1">
      <c r="A16" s="24" t="inlineStr">
        <is>
          <t>OC-1</t>
        </is>
      </c>
      <c r="B16" s="16" t="inlineStr">
        <is>
          <t>Geometry basis</t>
        </is>
      </c>
      <c r="C16" s="99" t="inlineStr">
        <is>
          <t>DONE</t>
        </is>
      </c>
      <c r="D16" s="23" t="n"/>
      <c r="E16" s="60" t="inlineStr">
        <is>
          <t>One roof, two drawings, resolved: the 46-strip layout governs panels (main runs field-verified 2026-07-24 to within half an inch), the site-inspection report governs trim (it passes the perimeter test the strip drawing fails by 25.8 ft).</t>
        </is>
      </c>
    </row>
    <row r="17" ht="36" customHeight="1">
      <c r="A17" s="24" t="inlineStr">
        <is>
          <t>OC-2</t>
        </is>
      </c>
      <c r="B17" s="16" t="inlineStr">
        <is>
          <t>Panel schedule</t>
        </is>
      </c>
      <c r="C17" s="99" t="inlineStr">
        <is>
          <t>DONE</t>
        </is>
      </c>
      <c r="D17" s="23" t="n"/>
      <c r="E17" s="60" t="inlineStr">
        <is>
          <t>46 panels, 46 blanks, 14 cut lengths, 551.00 LF. One fabrication run per section; whole-inch round-up; the 6-in projection on every panel that meets the eave or the pitch-break lap — including the four edge strips (C-17); factory edge at every eave; slop trims at the panel top under trim.</t>
        </is>
      </c>
    </row>
    <row r="18" ht="36" customHeight="1">
      <c r="A18" s="24" t="inlineStr">
        <is>
          <t>OC-3</t>
        </is>
      </c>
      <c r="B18" s="16" t="inlineStr">
        <is>
          <t>Blanks &amp; rips decided</t>
        </is>
      </c>
      <c r="C18" s="99" t="inlineStr">
        <is>
          <t>DONE</t>
        </is>
      </c>
      <c r="D18" s="23" t="n"/>
      <c r="E18" s="60" t="inlineStr">
        <is>
          <t>Decision recorded 2026-07-28: order 46 full-width blanks, no spares. H01, H11, I01, I11 are lengthwise FIELD RIPS, cut edge buried under rake trim. No crosswise field cuts anywhere on the job.</t>
        </is>
      </c>
    </row>
    <row r="19" ht="36" customHeight="1">
      <c r="A19" s="24" t="inlineStr">
        <is>
          <t>OC-4</t>
        </is>
      </c>
      <c r="B19" s="16" t="inlineStr">
        <is>
          <t>Layout confirmed</t>
        </is>
      </c>
      <c r="C19" s="99" t="inlineStr">
        <is>
          <t>DONE</t>
        </is>
      </c>
      <c r="D19" s="23" t="n"/>
      <c r="E19" s="60" t="inlineStr">
        <is>
          <t>The as-drawn layout is the layout: remainder split at both rakes on the porch roof and upper face, 26-in closer on the main slopes. Panel-to-blank map is 1:1.</t>
        </is>
      </c>
    </row>
    <row r="20" ht="36" customHeight="1">
      <c r="A20" s="24" t="inlineStr">
        <is>
          <t>OC-5</t>
        </is>
      </c>
      <c r="B20" s="16" t="inlineStr">
        <is>
          <t>Eave &amp; gable projection</t>
        </is>
      </c>
      <c r="C20" s="99" t="inlineStr">
        <is>
          <t>DONE</t>
        </is>
      </c>
      <c r="D20" s="23" t="n"/>
      <c r="E20" s="60" t="inlineStr">
        <is>
          <t>6-in projection is CONTRACT scope (signed proposal, included in base price), carried on 32 eave-flagged panels and at the main gables via the Approach B bearing shelf. KR-COL-ED-01 Rev B supports it.</t>
        </is>
      </c>
    </row>
    <row r="21" ht="36" customHeight="1">
      <c r="A21" s="24" t="inlineStr">
        <is>
          <t>OC-6</t>
        </is>
      </c>
      <c r="B21" s="16" t="inlineStr">
        <is>
          <t>Trim &amp; accessories</t>
        </is>
      </c>
      <c r="C21" s="99" t="inlineStr">
        <is>
          <t>DONE</t>
        </is>
      </c>
      <c r="D21" s="23" t="n"/>
      <c r="E21" s="60" t="inlineStr">
        <is>
          <t>Every quantity is a published per-run formula on the site-verified edge basis: 46 sticks across 8 families, closures per Ibex's own details, fasteners at the documented pattern with headroom to 16 in o.c.</t>
        </is>
      </c>
    </row>
    <row r="22" ht="36" customHeight="1">
      <c r="A22" s="24" t="inlineStr">
        <is>
          <t>OC-7</t>
        </is>
      </c>
      <c r="B22" s="16" t="inlineStr">
        <is>
          <t>Color</t>
        </is>
      </c>
      <c r="C22" s="99" t="inlineStr">
        <is>
          <t>DONE — SELECTION RECORDED</t>
        </is>
      </c>
      <c r="D22" s="23" t="n"/>
      <c r="E22" s="60" t="inlineStr">
        <is>
          <t>Medium Bronze 24 ga PVDF on the order (closest PVDF match to Kevin's Weathered Copper reference; his own text: color not final until the boss approves). Chip ships with the acknowledgment; customer signs the chip before the coil run. The two alternate routes stay printed on the color page.</t>
        </is>
      </c>
    </row>
    <row r="23" ht="36" customHeight="1">
      <c r="A23" s="24" t="inlineStr">
        <is>
          <t>OC-8</t>
        </is>
      </c>
      <c r="B23" s="16" t="inlineStr">
        <is>
          <t>Contract &amp; money</t>
        </is>
      </c>
      <c r="C23" s="99" t="inlineStr">
        <is>
          <t>DONE</t>
        </is>
      </c>
      <c r="D23" s="23" t="n"/>
      <c r="E23" s="60" t="inlineStr">
        <is>
          <t>Signed: $38,200, 24 ga Ibex option, phased 10/45/45 ($3,820 paid / $17,190 / $17,190). Pre-approved change rates on file. Budget and job-costing sheets carry the allocation.</t>
        </is>
      </c>
    </row>
    <row r="24" ht="36" customHeight="1">
      <c r="A24" s="24" t="inlineStr">
        <is>
          <t>OC-9</t>
        </is>
      </c>
      <c r="B24" s="16" t="inlineStr">
        <is>
          <t>Field rules &amp; sequence</t>
        </is>
      </c>
      <c r="C24" s="99" t="inlineStr">
        <is>
          <t>DONE</t>
        </is>
      </c>
      <c r="D24" s="23" t="n"/>
      <c r="E24" s="60" t="inlineStr">
        <is>
          <t>Cutting, lap-hand, starting-rake, valley, swarf and marking rules printed as field cards; install sequence and staging in the production plan.</t>
        </is>
      </c>
    </row>
    <row r="25" ht="36" customHeight="1">
      <c r="A25" s="24" t="inlineStr">
        <is>
          <t>OC-10</t>
        </is>
      </c>
      <c r="B25" s="16" t="inlineStr">
        <is>
          <t>Verification</t>
        </is>
      </c>
      <c r="C25" s="99" t="inlineStr">
        <is>
          <t>DONE</t>
        </is>
      </c>
      <c r="D25" s="23" t="n"/>
      <c r="E25" s="60" t="inlineStr">
        <is>
          <t>Workbook evaluated with an independent formula engine (zero errors, all figures reconcile); every packet page rendered and visually inspected; print-safety QA green. Evidence in the QA contact sheet.</t>
        </is>
      </c>
    </row>
  </sheetData>
  <mergeCells count="3">
    <mergeCell ref="A14:E14"/>
    <mergeCell ref="A1:E2"/>
    <mergeCell ref="A3:E3"/>
  </mergeCells>
  <printOptions horizontalCentered="1"/>
  <pageMargins left="0.35" right="0.35" top="0.45" bottom="0.45" header="0.5" footer="0.5"/>
  <pageSetup orientation="landscape" paperSize="1" fitToHeight="0" fitToWidth="1"/>
</worksheet>
</file>

<file path=xl/worksheets/sheet16.xml><?xml version="1.0" encoding="utf-8"?>
<worksheet xmlns="http://schemas.openxmlformats.org/spreadsheetml/2006/main">
  <sheetPr>
    <outlinePr summaryBelow="1" summaryRight="1"/>
    <pageSetUpPr fitToPage="1"/>
  </sheetPr>
  <dimension ref="A1:D29"/>
  <sheetViews>
    <sheetView workbookViewId="0">
      <selection activeCell="A1" sqref="A1"/>
    </sheetView>
  </sheetViews>
  <sheetFormatPr baseColWidth="8" defaultRowHeight="15"/>
  <cols>
    <col width="6" customWidth="1" min="1" max="1"/>
    <col width="62" customWidth="1" min="2" max="2"/>
    <col width="60" customWidth="1" min="3" max="3"/>
    <col width="26" customWidth="1" min="4" max="4"/>
  </cols>
  <sheetData>
    <row r="1" ht="24" customHeight="1">
      <c r="A1" s="1" t="inlineStr">
        <is>
          <t>COLLINS — SOURCE BASIS</t>
        </is>
      </c>
      <c r="B1" s="2" t="n"/>
      <c r="C1" s="2" t="n"/>
      <c r="D1" s="2" t="n"/>
    </row>
    <row r="2" ht="16" customHeight="1">
      <c r="A2" s="2" t="n"/>
      <c r="B2" s="2" t="n"/>
      <c r="C2" s="2" t="n"/>
      <c r="D2" s="2" t="n"/>
    </row>
    <row r="3" ht="15" customHeight="1">
      <c r="A3" s="3" t="inlineStr">
        <is>
          <t>Source hierarchy for every datum in this workbook.</t>
        </is>
      </c>
    </row>
    <row r="5" ht="28" customHeight="1">
      <c r="A5" s="7" t="inlineStr">
        <is>
          <t>#</t>
        </is>
      </c>
      <c r="B5" s="7" t="inlineStr">
        <is>
          <t>Source</t>
        </is>
      </c>
      <c r="C5" s="7" t="inlineStr">
        <is>
          <t>Used for</t>
        </is>
      </c>
      <c r="D5" s="7" t="inlineStr">
        <is>
          <t>Status</t>
        </is>
      </c>
    </row>
    <row r="6" ht="32" customHeight="1">
      <c r="A6" s="18" t="n">
        <v>1</v>
      </c>
      <c r="B6" s="56" t="inlineStr">
        <is>
          <t>Roofr DIY report 10769087, captured 2026-07-16 (API geometry + layer screenshots)</t>
        </is>
      </c>
      <c r="C6" s="60" t="inlineStr">
        <is>
          <t>Facet IDs, areas, panel-run lengths, edge lengths by type, pitch table</t>
        </is>
      </c>
      <c r="D6" s="19" t="inlineStr">
        <is>
          <t>PRIMARY — controlling geometry</t>
        </is>
      </c>
    </row>
    <row r="7" ht="32" customHeight="1">
      <c r="A7" s="18" t="n">
        <v>2</v>
      </c>
      <c r="B7" s="56" t="inlineStr">
        <is>
          <t>Roofr site-inspection report, 2026-04-01 (6 facets, 1,434 SF)</t>
        </is>
      </c>
      <c r="C7" s="60" t="inlineStr">
        <is>
          <t>TRIM EDGE BASIS — eaves, rakes, ridges, hips, valleys, transitions; passes the perimeter test</t>
        </is>
      </c>
      <c r="D7" s="19" t="inlineStr">
        <is>
          <t>PRIMARY — governs trim</t>
        </is>
      </c>
    </row>
    <row r="8" ht="32" customHeight="1">
      <c r="A8" s="18" t="n">
        <v>3</v>
      </c>
      <c r="B8" s="56" t="inlineStr">
        <is>
          <t>Scale-verified field measurements, 2026-07-24 (photographed tape sheet)</t>
        </is>
      </c>
      <c r="C8" s="60" t="inlineStr">
        <is>
          <t>Main slope runs 17'-0" both sides, width 28'-0", ridge 21'-6", valley diagonals — VERIFIES the panel basis and settles the 8/12 pitch</t>
        </is>
      </c>
      <c r="D8" s="19" t="inlineStr">
        <is>
          <t>PRIMARY — verification record</t>
        </is>
      </c>
    </row>
    <row r="9" ht="32" customHeight="1">
      <c r="A9" s="18" t="n">
        <v>4</v>
      </c>
      <c r="B9" s="56" t="inlineStr">
        <is>
          <t>Collins-ReRoof-Proposal_v21.pdf (sent 2026-04-20) + signed contract (2026-05-28)</t>
        </is>
      </c>
      <c r="C9" s="60" t="inlineStr">
        <is>
          <t>24 ga Ibex option $38,200; phased 10/45/45; 6-in eave extension incl. Approach B gable shelf in base price; pre-approved change rates; Malarkey 401 SA full deck</t>
        </is>
      </c>
      <c r="D9" s="19" t="inlineStr">
        <is>
          <t>PRIMARY — contract of record, in hand</t>
        </is>
      </c>
    </row>
    <row r="10" ht="32" customHeight="1">
      <c r="A10" s="18" t="n">
        <v>5</v>
      </c>
      <c r="B10" s="56" t="inlineStr">
        <is>
          <t>Kevin Collins ProLine activity export (6-18-26)</t>
        </is>
      </c>
      <c r="C10" s="60" t="inlineStr">
        <is>
          <t>24 ga confirmed in the customer's words 2026-04-20; Weathered Copper reference with color explicitly held for owner input; deposit cleared ~06-07</t>
        </is>
      </c>
      <c r="D10" s="19" t="inlineStr">
        <is>
          <t>PRIMARY — in hand</t>
        </is>
      </c>
    </row>
    <row r="11" ht="32" customHeight="1">
      <c r="A11" s="18" t="n">
        <v>6</v>
      </c>
      <c r="B11" s="56" t="inlineStr">
        <is>
          <t>Ibex Metal published product pages (ibexmetal.com)</t>
        </is>
      </c>
      <c r="C11" s="60" t="inlineStr">
        <is>
          <t>PBR gauge, 36-in net coverage, 1-1/4-in rib, 36-in minimum cut, trim profiles, colour list</t>
        </is>
      </c>
      <c r="D11" s="19" t="inlineStr">
        <is>
          <t>FIRST-PARTY — confirm at quotation</t>
        </is>
      </c>
    </row>
    <row r="12" ht="32" customHeight="1">
      <c r="A12" s="18" t="n">
        <v>7</v>
      </c>
      <c r="B12" s="56" t="inlineStr">
        <is>
          <t>Metal Sales 24 ga colour guide</t>
        </is>
      </c>
      <c r="C12" s="60" t="inlineStr">
        <is>
          <t>Existence of an exact Weathered Copper W50 in 24 ga PVDF from another manufacturer</t>
        </is>
      </c>
      <c r="D12" s="19" t="inlineStr">
        <is>
          <t>FIRST-PARTY</t>
        </is>
      </c>
    </row>
    <row r="13" ht="32" customHeight="1">
      <c r="A13" s="18" t="n">
        <v>8</v>
      </c>
      <c r="B13" s="56" t="inlineStr">
        <is>
          <t>Sheffield Metals / McElroy Metal 24 ga colour cards</t>
        </is>
      </c>
      <c r="C13" s="60" t="inlineStr">
        <is>
          <t>Adjacent aged-copper and bronze families; no closer documented match</t>
        </is>
      </c>
      <c r="D13" s="19" t="inlineStr">
        <is>
          <t>FIRST-PARTY</t>
        </is>
      </c>
    </row>
    <row r="14" ht="32" customHeight="1">
      <c r="A14" s="18" t="n">
        <v>9</v>
      </c>
      <c r="B14" s="56" t="inlineStr">
        <is>
          <t>v1 package (Collins_Metal_Roof_Order, 2026-07-16)</t>
        </is>
      </c>
      <c r="C14" s="60" t="inlineStr">
        <is>
          <t>Baseline for the correction log; all measured values transcribed from it</t>
        </is>
      </c>
      <c r="D14" s="19" t="inlineStr">
        <is>
          <t>SUPERSEDED BY THIS REVISION</t>
        </is>
      </c>
    </row>
    <row r="16" ht="20" customHeight="1">
      <c r="A16" s="6" t="inlineStr">
        <is>
          <t>FIRST-PARTY SOURCES RE-VERIFIED 2026-07-28</t>
        </is>
      </c>
    </row>
    <row r="17" ht="28" customHeight="1">
      <c r="A17" s="7" t="inlineStr">
        <is>
          <t>#</t>
        </is>
      </c>
      <c r="B17" s="7" t="inlineStr">
        <is>
          <t>Source</t>
        </is>
      </c>
      <c r="C17" s="7" t="inlineStr">
        <is>
          <t>Reference</t>
        </is>
      </c>
      <c r="D17" s="7" t="inlineStr">
        <is>
          <t>Used for</t>
        </is>
      </c>
    </row>
    <row r="18" ht="40" customHeight="1">
      <c r="A18" s="18" t="n">
        <v>1</v>
      </c>
      <c r="B18" s="56" t="inlineStr">
        <is>
          <t>Ibex Metal — PBR panel product page</t>
        </is>
      </c>
      <c r="C18" s="60" t="inlineStr">
        <is>
          <t>https://www.ibexmetal.com/products/panels/pbr/</t>
        </is>
      </c>
      <c r="D18" s="60" t="inlineStr">
        <is>
          <t>36 in coverage, gauge list, 36 in minimum length, 3:12 minimum slope, available colours by finish family</t>
        </is>
      </c>
    </row>
    <row r="19" ht="40" customHeight="1">
      <c r="A19" s="18" t="n">
        <v>2</v>
      </c>
      <c r="B19" s="56" t="inlineStr">
        <is>
          <t>Ibex Metal — PBR specification sheet (PDF)</t>
        </is>
      </c>
      <c r="C19" s="60" t="inlineStr">
        <is>
          <t>https://www.ibexmetal.com/wp-content/uploads/2026/04/PBR-Specifications.pdf</t>
        </is>
      </c>
      <c r="D19" s="60" t="inlineStr">
        <is>
          <t>26 ga grade 80 standard / 24 ga grade 50 optional, 1.1875 in rib height, 12 in rib spacing, fastening patterns at panel middle and panel ends, trim details A/B/F/G, 'screws spaced in accordance with the substrate'</t>
        </is>
      </c>
    </row>
    <row r="20" ht="40" customHeight="1">
      <c r="A20" s="18" t="n">
        <v>3</v>
      </c>
      <c r="B20" s="56" t="inlineStr">
        <is>
          <t>Ibex Metal — Product Catalog, March 2025 (PDF)</t>
        </is>
      </c>
      <c r="C20" s="60" t="inlineStr">
        <is>
          <t>https://ibexmetal.com/wp-content/uploads/2026/04/PRODUCT-CATALOG-March-2025.pdf</t>
        </is>
      </c>
      <c r="D20" s="60" t="inlineStr">
        <is>
          <t>PBR drawing (1-1/4 in rib, 33 in minimum length), trim 02B Jumbo Valley, trim 04B Jumbo Pitch Break, 01R Ridge Cap</t>
        </is>
      </c>
    </row>
    <row r="21" ht="40" customHeight="1">
      <c r="A21" s="18" t="n">
        <v>4</v>
      </c>
      <c r="B21" s="56" t="inlineStr">
        <is>
          <t>Ibex Metal — colour pages</t>
        </is>
      </c>
      <c r="C21" s="60" t="inlineStr">
        <is>
          <t>https://www.ibexmetal.com/products/colors/  and  /color-family/pvdf-colors/</t>
        </is>
      </c>
      <c r="D21" s="60" t="inlineStr">
        <is>
          <t>16 PVDF colours (Weathered Copper is NOT among them); Weathered Copper listed under SMOOTH COLOURS</t>
        </is>
      </c>
    </row>
    <row r="22" ht="40" customHeight="1">
      <c r="A22" s="18" t="n">
        <v>5</v>
      </c>
      <c r="B22" s="56" t="inlineStr">
        <is>
          <t>Ibex Metal — FAQ</t>
        </is>
      </c>
      <c r="C22" s="60" t="inlineStr">
        <is>
          <t>https://www.ibexmetal.com/frequently-asked-questions/</t>
        </is>
      </c>
      <c r="D22" s="60" t="inlineStr">
        <is>
          <t>35-year PVDF limited warranty vs 40-year on Smooth and Crinkle</t>
        </is>
      </c>
    </row>
    <row r="23" ht="40" customHeight="1">
      <c r="A23" s="18" t="n">
        <v>6</v>
      </c>
      <c r="B23" s="56" t="inlineStr">
        <is>
          <t>Metal Sales — PBR installation guide and 24 ga colour guide</t>
        </is>
      </c>
      <c r="C23" s="60" t="inlineStr">
        <is>
          <t>https://www.metalsales.us.com/</t>
        </is>
      </c>
      <c r="D23" s="60" t="inlineStr">
        <is>
          <t>Field vs end fastening patterns, 12 in stitch spacing, #10-14 wood screw and pullout values, 1/2 in projection past the deck, valley lap and fastening, pitch-break lap, closure part numbers and positions, vented-ridge stack-up, field verification before ordering, Weathered Copper W50 in 24 ga PVDF</t>
        </is>
      </c>
    </row>
    <row r="24" ht="40" customHeight="1">
      <c r="A24" s="18" t="n">
        <v>7</v>
      </c>
      <c r="B24" s="56" t="inlineStr">
        <is>
          <t>Metal Construction Association</t>
        </is>
      </c>
      <c r="C24" s="60" t="inlineStr">
        <is>
          <t>https://www.metalconstruction.org/</t>
        </is>
      </c>
      <c r="D24" s="60" t="inlineStr">
        <is>
          <t>Installation manual Ch.16 layout and starting-rake rules, prohibition on abrasive cutting, ±3/8 in panel length fabrication tolerance, fastener compatibility table, colour-difference guidance</t>
        </is>
      </c>
    </row>
    <row r="25" ht="40" customHeight="1">
      <c r="A25" s="18" t="n">
        <v>8</v>
      </c>
      <c r="B25" s="56" t="inlineStr">
        <is>
          <t>AAMA 2604 / 2605 §8.1 via MCA bulletin</t>
        </is>
      </c>
      <c r="C25" s="60" t="inlineStr">
        <is>
          <t>AAMA 2604-13 / 2605-13</t>
        </is>
      </c>
      <c r="D25" s="60" t="inlineStr">
        <is>
          <t>Colour uniformity suggested maximum 2 ΔE per ASTM D2244; 5 ΔE is a weathering limit</t>
        </is>
      </c>
    </row>
    <row r="26" ht="40" customHeight="1">
      <c r="A26" s="18" t="n">
        <v>9</v>
      </c>
      <c r="B26" s="56" t="inlineStr">
        <is>
          <t>ASC Building Products, MBCI, Best Buy Metals, Homewood, Union Corrugating</t>
        </is>
      </c>
      <c r="C26" s="60" t="inlineStr">
        <is>
          <t>manufacturer installation guides</t>
        </is>
      </c>
      <c r="D26" s="60" t="inlineStr">
        <is>
          <t>Corroborating cut-method, swarf, closure, lap-direction and solid-deck fastening practice</t>
        </is>
      </c>
    </row>
    <row r="27" ht="40" customHeight="1">
      <c r="A27" s="18" t="n">
        <v>10</v>
      </c>
      <c r="B27" s="56" t="inlineStr">
        <is>
          <t>ARMA / IRC 2018 (Kootenai County adoption)</t>
        </is>
      </c>
      <c r="C27" s="60" t="inlineStr">
        <is>
          <t>R905.10 metal roof panels</t>
        </is>
      </c>
      <c r="D27" s="60" t="inlineStr">
        <is>
          <t>Drip-edge flange fastening practice; R905.2.8.5 drip-edge mandate applies to asphalt shingles, not to metal panels; R905.10.2 sets 3:12 for lapped nonsoldered seams</t>
        </is>
      </c>
    </row>
    <row r="29" ht="56" customHeight="1">
      <c r="A29" s="11" t="inlineStr">
        <is>
          <t>SUPPLIER-SIDE FACTS land with the Ibex order acknowledgment (A1–A7 on the order form): coil/colour confirmation with chip, fastening spec, single-piece length, rib height as produced, drip blank choice, pitch-break forming, and ridge-vent NFA. Nothing on Ketron's side is open — see the Order Control checklist.</t>
        </is>
      </c>
    </row>
  </sheetData>
  <mergeCells count="4">
    <mergeCell ref="A29:D29"/>
    <mergeCell ref="A1:D2"/>
    <mergeCell ref="A3:D3"/>
    <mergeCell ref="A16:D16"/>
  </mergeCells>
  <printOptions horizontalCentered="1"/>
  <pageMargins left="0.35" right="0.35" top="0.45" bottom="0.45" header="0.5" footer="0.5"/>
  <pageSetup orientation="landscape" paperSize="1" fitToHeight="0" fitToWidth="1"/>
</worksheet>
</file>

<file path=xl/worksheets/sheet2.xml><?xml version="1.0" encoding="utf-8"?>
<worksheet xmlns="http://schemas.openxmlformats.org/spreadsheetml/2006/main">
  <sheetPr>
    <outlinePr summaryBelow="1" summaryRight="1"/>
    <pageSetUpPr fitToPage="1"/>
  </sheetPr>
  <dimension ref="A1:I30"/>
  <sheetViews>
    <sheetView workbookViewId="0">
      <selection activeCell="A1" sqref="A1"/>
    </sheetView>
  </sheetViews>
  <sheetFormatPr baseColWidth="8" defaultRowHeight="15"/>
  <cols>
    <col width="24" customWidth="1" min="1" max="1"/>
    <col width="30" customWidth="1" min="2" max="2"/>
    <col width="3" customWidth="1" min="3" max="3"/>
    <col width="30" customWidth="1" min="4" max="4"/>
    <col width="16" customWidth="1" min="5" max="5"/>
    <col width="3" customWidth="1" min="6" max="6"/>
    <col width="12" customWidth="1" min="7" max="7"/>
    <col width="12" customWidth="1" min="8" max="8"/>
    <col width="26" customWidth="1" min="9" max="9"/>
  </cols>
  <sheetData>
    <row r="1" ht="24" customHeight="1">
      <c r="A1" s="1" t="inlineStr">
        <is>
          <t>COLLINS METAL ROOF — ORDER SUMMARY</t>
        </is>
      </c>
      <c r="B1" s="2" t="n"/>
      <c r="C1" s="2" t="n"/>
      <c r="D1" s="2" t="n"/>
      <c r="E1" s="2" t="n"/>
      <c r="F1" s="2" t="n"/>
      <c r="G1" s="2" t="n"/>
      <c r="H1" s="2" t="n"/>
      <c r="I1" s="2" t="n"/>
    </row>
    <row r="2" ht="16" customHeight="1">
      <c r="A2" s="2" t="n"/>
      <c r="B2" s="2" t="n"/>
      <c r="C2" s="2" t="n"/>
      <c r="D2" s="2" t="n"/>
      <c r="E2" s="2" t="n"/>
      <c r="F2" s="2" t="n"/>
      <c r="G2" s="2" t="n"/>
      <c r="H2" s="2" t="n"/>
      <c r="I2" s="2" t="n"/>
    </row>
    <row r="3" ht="15" customHeight="1">
      <c r="A3" s="3" t="inlineStr">
        <is>
          <t>1407 N 6th St, Coeur d'Alene, ID 83814  •  Roofr report 10769087  •  REV C</t>
        </is>
      </c>
    </row>
    <row r="5" ht="20" customHeight="1">
      <c r="A5" s="6" t="inlineStr">
        <is>
          <t>HEADLINE QUANTITIES</t>
        </is>
      </c>
    </row>
    <row r="6" ht="28" customHeight="1">
      <c r="A6" s="7" t="inlineStr">
        <is>
          <t>Quantity</t>
        </is>
      </c>
      <c r="B6" s="7" t="inlineStr">
        <is>
          <t>Value</t>
        </is>
      </c>
      <c r="C6" s="7" t="inlineStr"/>
      <c r="D6" s="7" t="inlineStr">
        <is>
          <t>Quantity</t>
        </is>
      </c>
      <c r="E6" s="7" t="inlineStr">
        <is>
          <t>Value</t>
        </is>
      </c>
      <c r="F6" s="7" t="inlineStr"/>
      <c r="G6" s="7" t="inlineStr">
        <is>
          <t>Pitch</t>
        </is>
      </c>
      <c r="H6" s="7" t="inlineStr">
        <is>
          <t>Area SF</t>
        </is>
      </c>
      <c r="I6" s="7" t="inlineStr">
        <is>
          <t>Plane</t>
        </is>
      </c>
    </row>
    <row r="7" ht="20" customHeight="1">
      <c r="A7" s="16" t="inlineStr">
        <is>
          <t>Panels installed</t>
        </is>
      </c>
      <c r="B7" s="17">
        <f>COUNTA('Panel Cut List'!$A$6:$A$51)</f>
        <v/>
      </c>
      <c r="D7" s="16" t="inlineStr">
        <is>
          <t>Blanks ordered</t>
        </is>
      </c>
      <c r="E7" s="17">
        <f>COUNTA('Blank List'!$A$6:$A$51)</f>
        <v/>
      </c>
      <c r="G7" s="18" t="inlineStr">
        <is>
          <t>4/12</t>
        </is>
      </c>
      <c r="H7" s="18" t="n">
        <v>278</v>
      </c>
      <c r="I7" s="19" t="inlineStr">
        <is>
          <t>H</t>
        </is>
      </c>
    </row>
    <row r="8" ht="20" customHeight="1">
      <c r="A8" s="16" t="inlineStr">
        <is>
          <t>Ordered footage — LF</t>
        </is>
      </c>
      <c r="B8" s="20">
        <f>ROUND(SUM('Blank List'!$F$6:$F$51),2)</f>
        <v/>
      </c>
      <c r="D8" s="16" t="inlineStr">
        <is>
          <t>Length groups</t>
        </is>
      </c>
      <c r="E8" s="17">
        <f>SUMPRODUCT(1/COUNTIF('Blank List'!$D$6:$D$51,'Blank List'!$D$6:$D$51))</f>
        <v/>
      </c>
      <c r="G8" s="18" t="inlineStr">
        <is>
          <t>8/12</t>
        </is>
      </c>
      <c r="H8" s="18" t="n">
        <v>774</v>
      </c>
      <c r="I8" s="19" t="inlineStr">
        <is>
          <t>D, E</t>
        </is>
      </c>
    </row>
    <row r="9" ht="20" customHeight="1">
      <c r="A9" s="16" t="inlineStr">
        <is>
          <t>Roof area — SF</t>
        </is>
      </c>
      <c r="B9" s="20">
        <f>ROUND(SUM('Panel Cut List'!$F$6:$F$51),2)</f>
        <v/>
      </c>
      <c r="D9" s="16" t="inlineStr">
        <is>
          <t>Panel coverage supplied — SF</t>
        </is>
      </c>
      <c r="E9" s="21">
        <f>ROUND(SUM('Blank List'!$F$6:$F$51)*NET_COVERAGE_IN/12,1)</f>
        <v/>
      </c>
      <c r="G9" s="18" t="inlineStr">
        <is>
          <t>9/12</t>
        </is>
      </c>
      <c r="H9" s="18" t="n">
        <v>85</v>
      </c>
      <c r="I9" s="19" t="inlineStr">
        <is>
          <t>J</t>
        </is>
      </c>
    </row>
    <row r="10" ht="20" customHeight="1">
      <c r="A10" s="16" t="inlineStr">
        <is>
          <t>Net coverage — in</t>
        </is>
      </c>
      <c r="B10" s="17">
        <f>NET_COVERAGE_IN</f>
        <v/>
      </c>
      <c r="D10" s="16" t="inlineStr">
        <is>
          <t>Shape-cut surplus</t>
        </is>
      </c>
      <c r="E10" s="22">
        <f>SUM('Blank List'!$F$6:$F$51)*NET_COVERAGE_IN/12/SUM('Panel Cut List'!$F$6:$F$51)-1</f>
        <v/>
      </c>
      <c r="G10" s="18" t="inlineStr">
        <is>
          <t>11/12</t>
        </is>
      </c>
      <c r="H10" s="18" t="n">
        <v>267</v>
      </c>
      <c r="I10" s="19" t="inlineStr">
        <is>
          <t>I</t>
        </is>
      </c>
    </row>
    <row r="11" ht="20" customHeight="1">
      <c r="A11" s="16" t="inlineStr">
        <is>
          <t>Eave projection — in</t>
        </is>
      </c>
      <c r="B11" s="17">
        <f>EAVE_PROJECTION_IN</f>
        <v/>
      </c>
      <c r="D11" s="16" t="inlineStr">
        <is>
          <t>Eave-terminated panels</t>
        </is>
      </c>
      <c r="E11" s="17">
        <f>COUNTIF('Panel Cut List'!$J$6:$J$51,"Y")</f>
        <v/>
      </c>
      <c r="G11" s="23" t="n"/>
      <c r="H11" s="23" t="n"/>
      <c r="I11" s="23" t="n"/>
    </row>
    <row r="12" ht="20" customHeight="1">
      <c r="A12" s="16" t="inlineStr">
        <is>
          <t>Field-verify allowance — in</t>
        </is>
      </c>
      <c r="B12" s="17">
        <f>VERIFY_ALLOWANCE_IN</f>
        <v/>
      </c>
      <c r="D12" s="16" t="inlineStr">
        <is>
          <t>Panels supplied as rips</t>
        </is>
      </c>
      <c r="E12" s="17">
        <f>COUNTIF('Panel Cut List'!$T$6:$T$51,"RIP")</f>
        <v/>
      </c>
      <c r="G12" s="23" t="n"/>
      <c r="H12" s="23" t="n"/>
      <c r="I12" s="23" t="n"/>
    </row>
    <row r="14" ht="20" customHeight="1">
      <c r="A14" s="6" t="inlineStr">
        <is>
          <t>SPECIFICATION</t>
        </is>
      </c>
    </row>
    <row r="15">
      <c r="A15" s="10" t="inlineStr">
        <is>
          <t>Panel system</t>
        </is>
      </c>
      <c r="B15" s="8" t="inlineStr">
        <is>
          <t>Ibex PBR — 36 in net coverage, 1-1/4 in rib</t>
        </is>
      </c>
    </row>
    <row r="16">
      <c r="A16" s="10" t="inlineStr">
        <is>
          <t>Material</t>
        </is>
      </c>
      <c r="B16" s="8" t="inlineStr">
        <is>
          <t>24 ga prefinished steel, PVDF</t>
        </is>
      </c>
    </row>
    <row r="17">
      <c r="A17" s="10" t="inlineStr">
        <is>
          <t>Finish selected</t>
        </is>
      </c>
      <c r="B17" s="8" t="inlineStr">
        <is>
          <t>Medium Bronze PVDF — chip ships with the acknowledgment for customer sign-off before the coil run (A1)</t>
        </is>
      </c>
    </row>
    <row r="18">
      <c r="A18" s="10" t="inlineStr">
        <is>
          <t>Customer colour reference</t>
        </is>
      </c>
      <c r="B18" s="8" t="inlineStr">
        <is>
          <t>Weathered Copper — Ibex offers it only in Smooth/SMP; the PVDF match is ordered; alternates stay on the Color sheet</t>
        </is>
      </c>
    </row>
    <row r="19">
      <c r="A19" s="10" t="inlineStr">
        <is>
          <t>Sections</t>
        </is>
      </c>
      <c r="B19" s="8" t="inlineStr">
        <is>
          <t>S1+S2 main roof (8/12) • S3 upper face (11/12) • S4 corners (9/12) • S5 porch (4/12)</t>
        </is>
      </c>
    </row>
    <row r="20">
      <c r="A20" s="10" t="inlineStr">
        <is>
          <t>Length basis</t>
        </is>
      </c>
      <c r="B20" s="8" t="inlineStr">
        <is>
          <t>measured run, rounded UP to a whole inch, + 6 in projection on eave/pitch-break-lap panels; factory edge at the eave, slop trims at the top</t>
        </is>
      </c>
    </row>
    <row r="21">
      <c r="A21" s="10" t="inlineStr">
        <is>
          <t>Field-cut allowance</t>
        </is>
      </c>
      <c r="B21" s="8" t="inlineStr">
        <is>
          <t>none needed — main runs tape-verified 2026-07-24; ordered direction is the safe direction on every panel</t>
        </is>
      </c>
    </row>
    <row r="22">
      <c r="A22" s="10" t="inlineStr">
        <is>
          <t>Order status</t>
        </is>
      </c>
      <c r="B22" s="8" t="inlineStr">
        <is>
          <t>PREPARED — NOT TRANSMITTED</t>
        </is>
      </c>
    </row>
    <row r="24" ht="20" customHeight="1">
      <c r="A24" s="6" t="inlineStr">
        <is>
          <t>PLANE SUMMARY</t>
        </is>
      </c>
    </row>
    <row r="25" ht="28" customHeight="1">
      <c r="A25" s="7" t="inlineStr">
        <is>
          <t>Plane</t>
        </is>
      </c>
      <c r="B25" s="7" t="inlineStr">
        <is>
          <t>Description</t>
        </is>
      </c>
      <c r="C25" s="7" t="inlineStr"/>
      <c r="D25" s="7" t="inlineStr">
        <is>
          <t>Pitch</t>
        </is>
      </c>
      <c r="E25" s="7" t="inlineStr">
        <is>
          <t>Panels</t>
        </is>
      </c>
      <c r="F25" s="7" t="inlineStr"/>
      <c r="G25" s="7" t="inlineStr">
        <is>
          <t>Blanks</t>
        </is>
      </c>
      <c r="H25" s="7" t="inlineStr">
        <is>
          <t>Area SF</t>
        </is>
      </c>
      <c r="I25" s="7" t="inlineStr">
        <is>
          <t>Plane width ft</t>
        </is>
      </c>
    </row>
    <row r="26">
      <c r="A26" s="24" t="inlineStr">
        <is>
          <t>D</t>
        </is>
      </c>
      <c r="B26" s="16" t="inlineStr">
        <is>
          <t>S2 · MAIN ROOF — RIGHT SLOPE</t>
        </is>
      </c>
      <c r="D26" s="18" t="inlineStr">
        <is>
          <t>8/12</t>
        </is>
      </c>
      <c r="E26" s="25">
        <f>COUNTIF('Panel Cut List'!$B$6:$B$51,A26)</f>
        <v/>
      </c>
      <c r="G26" s="25">
        <f>COUNTIF('Blank List'!$B$6:$B$51,A26)</f>
        <v/>
      </c>
      <c r="H26" s="26">
        <f>SUMIF('Panel Cut List'!$B$6:$B$51,A26,'Panel Cut List'!$F$6:$F$51)</f>
        <v/>
      </c>
      <c r="I26" s="26">
        <f>SUMIF('Panel Cut List'!$B$6:$B$51,A26,'Panel Cut List'!$S$6:$S$51)/12</f>
        <v/>
      </c>
    </row>
    <row r="27">
      <c r="A27" s="24" t="inlineStr">
        <is>
          <t>E</t>
        </is>
      </c>
      <c r="B27" s="16" t="inlineStr">
        <is>
          <t>S1 · MAIN ROOF — LEFT SLOPE</t>
        </is>
      </c>
      <c r="D27" s="18" t="inlineStr">
        <is>
          <t>8/12</t>
        </is>
      </c>
      <c r="E27" s="25">
        <f>COUNTIF('Panel Cut List'!$B$6:$B$51,A27)</f>
        <v/>
      </c>
      <c r="G27" s="25">
        <f>COUNTIF('Blank List'!$B$6:$B$51,A27)</f>
        <v/>
      </c>
      <c r="H27" s="26">
        <f>SUMIF('Panel Cut List'!$B$6:$B$51,A27,'Panel Cut List'!$F$6:$F$51)</f>
        <v/>
      </c>
      <c r="I27" s="26">
        <f>SUMIF('Panel Cut List'!$B$6:$B$51,A27,'Panel Cut List'!$S$6:$S$51)/12</f>
        <v/>
      </c>
    </row>
    <row r="28">
      <c r="A28" s="24" t="inlineStr">
        <is>
          <t>H</t>
        </is>
      </c>
      <c r="B28" s="16" t="inlineStr">
        <is>
          <t>S5 · PORCH ROOF (4/12)</t>
        </is>
      </c>
      <c r="D28" s="18" t="inlineStr">
        <is>
          <t>4/12</t>
        </is>
      </c>
      <c r="E28" s="25">
        <f>COUNTIF('Panel Cut List'!$B$6:$B$51,A28)</f>
        <v/>
      </c>
      <c r="G28" s="25">
        <f>COUNTIF('Blank List'!$B$6:$B$51,A28)</f>
        <v/>
      </c>
      <c r="H28" s="26">
        <f>SUMIF('Panel Cut List'!$B$6:$B$51,A28,'Panel Cut List'!$F$6:$F$51)</f>
        <v/>
      </c>
      <c r="I28" s="26">
        <f>SUMIF('Panel Cut List'!$B$6:$B$51,A28,'Panel Cut List'!$S$6:$S$51)/12</f>
        <v/>
      </c>
    </row>
    <row r="29">
      <c r="A29" s="24" t="inlineStr">
        <is>
          <t>I</t>
        </is>
      </c>
      <c r="B29" s="16" t="inlineStr">
        <is>
          <t>S3 · FRONT UPPER FACE (11/12)</t>
        </is>
      </c>
      <c r="D29" s="18" t="inlineStr">
        <is>
          <t>11/12</t>
        </is>
      </c>
      <c r="E29" s="25">
        <f>COUNTIF('Panel Cut List'!$B$6:$B$51,A29)</f>
        <v/>
      </c>
      <c r="G29" s="25">
        <f>COUNTIF('Blank List'!$B$6:$B$51,A29)</f>
        <v/>
      </c>
      <c r="H29" s="26">
        <f>SUMIF('Panel Cut List'!$B$6:$B$51,A29,'Panel Cut List'!$F$6:$F$51)</f>
        <v/>
      </c>
      <c r="I29" s="26">
        <f>SUMIF('Panel Cut List'!$B$6:$B$51,A29,'Panel Cut List'!$S$6:$S$51)/12</f>
        <v/>
      </c>
    </row>
    <row r="30">
      <c r="A30" s="24" t="inlineStr">
        <is>
          <t>J</t>
        </is>
      </c>
      <c r="B30" s="16" t="inlineStr">
        <is>
          <t>S4 · FRONT CORNER RETURNS (9/12)</t>
        </is>
      </c>
      <c r="D30" s="18" t="inlineStr">
        <is>
          <t>9/12</t>
        </is>
      </c>
      <c r="E30" s="25">
        <f>COUNTIF('Panel Cut List'!$B$6:$B$51,A30)</f>
        <v/>
      </c>
      <c r="G30" s="25">
        <f>COUNTIF('Blank List'!$B$6:$B$51,A30)</f>
        <v/>
      </c>
      <c r="H30" s="26">
        <f>SUMIF('Panel Cut List'!$B$6:$B$51,A30,'Panel Cut List'!$F$6:$F$51)</f>
        <v/>
      </c>
      <c r="I30" s="26">
        <f>SUMIF('Panel Cut List'!$B$6:$B$51,A30,'Panel Cut List'!$S$6:$S$51)/12</f>
        <v/>
      </c>
    </row>
  </sheetData>
  <mergeCells count="13">
    <mergeCell ref="B18:I18"/>
    <mergeCell ref="B21:I21"/>
    <mergeCell ref="B15:I15"/>
    <mergeCell ref="A5:I5"/>
    <mergeCell ref="B16:I16"/>
    <mergeCell ref="A14:I14"/>
    <mergeCell ref="B20:I20"/>
    <mergeCell ref="A1:I2"/>
    <mergeCell ref="B19:I19"/>
    <mergeCell ref="B22:I22"/>
    <mergeCell ref="A3:I3"/>
    <mergeCell ref="A24:I24"/>
    <mergeCell ref="B17:I17"/>
  </mergeCells>
  <printOptions horizontalCentered="1"/>
  <pageMargins left="0.35" right="0.35" top="0.45" bottom="0.45" header="0.5" footer="0.5"/>
  <pageSetup orientation="landscape" paperSize="1" fitToHeight="0" fitToWidth="1"/>
</worksheet>
</file>

<file path=xl/worksheets/sheet3.xml><?xml version="1.0" encoding="utf-8"?>
<worksheet xmlns="http://schemas.openxmlformats.org/spreadsheetml/2006/main">
  <sheetPr>
    <outlinePr summaryBelow="1" summaryRight="1"/>
    <pageSetUpPr fitToPage="1"/>
  </sheetPr>
  <dimension ref="A1:W56"/>
  <sheetViews>
    <sheetView workbookViewId="0">
      <pane ySplit="5" topLeftCell="A6" activePane="bottomLeft" state="frozen"/>
      <selection pane="bottomLeft" activeCell="A1" sqref="A1"/>
    </sheetView>
  </sheetViews>
  <sheetFormatPr baseColWidth="8" defaultRowHeight="15"/>
  <cols>
    <col width="9" customWidth="1" min="1" max="1"/>
    <col width="6" customWidth="1" min="2" max="2"/>
    <col width="5" customWidth="1" min="3" max="3"/>
    <col width="11" customWidth="1" min="4" max="4"/>
    <col width="7" customWidth="1" min="5" max="5"/>
    <col width="8" customWidth="1" min="6" max="6"/>
    <col width="10" customWidth="1" min="7" max="7"/>
    <col width="9" customWidth="1" min="8" max="8"/>
    <col width="11" customWidth="1" min="9" max="9"/>
    <col width="6" customWidth="1" min="10" max="10"/>
    <col width="8" customWidth="1" min="11" max="11"/>
    <col width="9" customWidth="1" min="12" max="12"/>
    <col width="10" customWidth="1" min="13" max="13"/>
    <col width="9" customWidth="1" min="14" max="14"/>
    <col width="8" customWidth="1" min="15" max="15"/>
    <col width="13" customWidth="1" min="16" max="16"/>
    <col width="8" customWidth="1" min="17" max="17"/>
    <col width="10" customWidth="1" min="18" max="18"/>
    <col width="10" customWidth="1" min="19" max="19"/>
    <col width="9" customWidth="1" min="20" max="20"/>
    <col width="9" customWidth="1" min="21" max="21"/>
    <col width="40" customWidth="1" min="22" max="22"/>
    <col width="7" customWidth="1" min="23" max="23"/>
  </cols>
  <sheetData>
    <row r="1" ht="24" customHeight="1">
      <c r="A1" s="1" t="inlineStr">
        <is>
          <t>COLLINS — PANEL CUT LIST</t>
        </is>
      </c>
      <c r="B1" s="2" t="n"/>
      <c r="C1" s="2" t="n"/>
      <c r="D1" s="2" t="n"/>
      <c r="E1" s="2" t="n"/>
      <c r="F1" s="2" t="n"/>
      <c r="G1" s="2" t="n"/>
      <c r="H1" s="2" t="n"/>
      <c r="I1" s="2" t="n"/>
      <c r="J1" s="2" t="n"/>
      <c r="K1" s="2" t="n"/>
      <c r="L1" s="2" t="n"/>
      <c r="M1" s="2" t="n"/>
      <c r="N1" s="2" t="n"/>
      <c r="O1" s="2" t="n"/>
      <c r="P1" s="2" t="n"/>
      <c r="Q1" s="2" t="n"/>
      <c r="R1" s="2" t="n"/>
      <c r="S1" s="2" t="n"/>
      <c r="T1" s="2" t="n"/>
      <c r="U1" s="2" t="n"/>
      <c r="V1" s="2" t="n"/>
      <c r="W1" s="2" t="n"/>
    </row>
    <row r="2" ht="16" customHeight="1">
      <c r="A2" s="2" t="n"/>
      <c r="B2" s="2" t="n"/>
      <c r="C2" s="2" t="n"/>
      <c r="D2" s="2" t="n"/>
      <c r="E2" s="2" t="n"/>
      <c r="F2" s="2" t="n"/>
      <c r="G2" s="2" t="n"/>
      <c r="H2" s="2" t="n"/>
      <c r="I2" s="2" t="n"/>
      <c r="J2" s="2" t="n"/>
      <c r="K2" s="2" t="n"/>
      <c r="L2" s="2" t="n"/>
      <c r="M2" s="2" t="n"/>
      <c r="N2" s="2" t="n"/>
      <c r="O2" s="2" t="n"/>
      <c r="P2" s="2" t="n"/>
      <c r="Q2" s="2" t="n"/>
      <c r="R2" s="2" t="n"/>
      <c r="S2" s="2" t="n"/>
      <c r="T2" s="2" t="n"/>
      <c r="U2" s="2" t="n"/>
      <c r="V2" s="2" t="n"/>
      <c r="W2" s="2" t="n"/>
    </row>
    <row r="3" ht="15" customHeight="1">
      <c r="A3" s="3" t="inlineStr">
        <is>
          <t>One row per Roofr facet. Every white column is a live formula from the measured inputs; only the shaded measured columns are typed values.</t>
        </is>
      </c>
    </row>
    <row r="5" ht="28" customHeight="1">
      <c r="A5" s="7" t="inlineStr">
        <is>
          <t>Panel ID</t>
        </is>
      </c>
      <c r="B5" s="7" t="inlineStr">
        <is>
          <t>Plane</t>
        </is>
      </c>
      <c r="C5" s="7" t="inlineStr">
        <is>
          <t>Pos</t>
        </is>
      </c>
      <c r="D5" s="7" t="inlineStr">
        <is>
          <t>Roofr facet</t>
        </is>
      </c>
      <c r="E5" s="7" t="inlineStr">
        <is>
          <t>Pitch</t>
        </is>
      </c>
      <c r="F5" s="7" t="inlineStr">
        <is>
          <t>Area SF</t>
        </is>
      </c>
      <c r="G5" s="7" t="inlineStr">
        <is>
          <t>Measured run ft</t>
        </is>
      </c>
      <c r="H5" s="7" t="inlineStr">
        <is>
          <t>2nd edge ft</t>
        </is>
      </c>
      <c r="I5" s="7" t="inlineStr">
        <is>
          <t>Shape</t>
        </is>
      </c>
      <c r="J5" s="7" t="inlineStr">
        <is>
          <t>Eave</t>
        </is>
      </c>
      <c r="K5" s="7" t="inlineStr">
        <is>
          <t>Run in</t>
        </is>
      </c>
      <c r="L5" s="7" t="inlineStr">
        <is>
          <t>Fab run in</t>
        </is>
      </c>
      <c r="M5" s="7" t="inlineStr">
        <is>
          <t>Round-up in</t>
        </is>
      </c>
      <c r="N5" s="7" t="inlineStr">
        <is>
          <t>Eave add in</t>
        </is>
      </c>
      <c r="O5" s="7" t="inlineStr">
        <is>
          <t>Allow in</t>
        </is>
      </c>
      <c r="P5" s="7" t="inlineStr">
        <is>
          <t>ORDER LENGTH in</t>
        </is>
      </c>
      <c r="Q5" s="7" t="inlineStr">
        <is>
          <t>Order ft</t>
        </is>
      </c>
      <c r="R5" s="7" t="inlineStr">
        <is>
          <t>Order ft-in</t>
        </is>
      </c>
      <c r="S5" s="7" t="inlineStr">
        <is>
          <t>Facet width in</t>
        </is>
      </c>
      <c r="T5" s="7" t="inlineStr">
        <is>
          <t>Blank role</t>
        </is>
      </c>
      <c r="U5" s="7" t="inlineStr">
        <is>
          <t>Blank ref</t>
        </is>
      </c>
      <c r="V5" s="7" t="inlineStr">
        <is>
          <t>Edge terminations</t>
        </is>
      </c>
      <c r="W5" s="7" t="inlineStr">
        <is>
          <t>QC</t>
        </is>
      </c>
    </row>
    <row r="6">
      <c r="A6" s="24" t="inlineStr">
        <is>
          <t>D03</t>
        </is>
      </c>
      <c r="B6" s="27" t="inlineStr">
        <is>
          <t>D</t>
        </is>
      </c>
      <c r="C6" s="27" t="n">
        <v>1</v>
      </c>
      <c r="D6" s="19" t="inlineStr">
        <is>
          <t>i4qim5</t>
        </is>
      </c>
      <c r="E6" s="27" t="inlineStr">
        <is>
          <t>8/12</t>
        </is>
      </c>
      <c r="F6" s="28" t="n">
        <v>51.3</v>
      </c>
      <c r="G6" s="29" t="n">
        <v>17.03</v>
      </c>
      <c r="H6" s="28" t="n">
        <v>17.03</v>
      </c>
      <c r="I6" s="16" t="inlineStr">
        <is>
          <t>Rectangle</t>
        </is>
      </c>
      <c r="J6" s="30" t="inlineStr">
        <is>
          <t>Y</t>
        </is>
      </c>
      <c r="K6" s="31">
        <f>G6*12</f>
        <v/>
      </c>
      <c r="L6" s="32">
        <f>CEILING(K6,1)</f>
        <v/>
      </c>
      <c r="M6" s="31">
        <f>L6-K6</f>
        <v/>
      </c>
      <c r="N6" s="32">
        <f>IF(J6="Y",EAVE_PROJECTION_IN,0)</f>
        <v/>
      </c>
      <c r="O6" s="32">
        <f>VERIFY_ALLOWANCE_IN</f>
        <v/>
      </c>
      <c r="P6" s="32">
        <f>MAX(MIN_CUT_IN,L6+N6+O6)</f>
        <v/>
      </c>
      <c r="Q6" s="31">
        <f>P6/12</f>
        <v/>
      </c>
      <c r="R6" s="16">
        <f>INT(P6/12)&amp;"'-"&amp;IF(MOD(P6,12)&lt;10,"0","")&amp;MOD(P6,12)&amp;""""</f>
        <v/>
      </c>
      <c r="S6" s="33">
        <f>IF(I6="Rectangle",12*F6/G6,IF(I6="Triangle",24*F6/G6,IF(24*F6/(G6+H6)&gt;45,NET_COVERAGE_IN,24*F6/(G6+H6))))</f>
        <v/>
      </c>
      <c r="T6" s="27">
        <f>IF(S6&lt;RIP_THRESHOLD_IN,"RIP","FULL")</f>
        <v/>
      </c>
      <c r="U6" s="27" t="inlineStr">
        <is>
          <t>B01</t>
        </is>
      </c>
      <c r="V6" s="19" t="inlineStr">
        <is>
          <t>eaves, rakes, stepflashing, unspecified</t>
        </is>
      </c>
      <c r="W6" s="27">
        <f>IF(AND(P6&gt;=MIN_CUT_IN,S6&gt;0,P6&gt;=L6),"PASS","CHECK")</f>
        <v/>
      </c>
    </row>
    <row r="7">
      <c r="A7" s="34" t="inlineStr">
        <is>
          <t>D04</t>
        </is>
      </c>
      <c r="B7" s="35" t="inlineStr">
        <is>
          <t>D</t>
        </is>
      </c>
      <c r="C7" s="35" t="n">
        <v>2</v>
      </c>
      <c r="D7" s="36" t="inlineStr">
        <is>
          <t>o3pfl</t>
        </is>
      </c>
      <c r="E7" s="35" t="inlineStr">
        <is>
          <t>8/12</t>
        </is>
      </c>
      <c r="F7" s="28" t="n">
        <v>51.33</v>
      </c>
      <c r="G7" s="29" t="n">
        <v>17.03</v>
      </c>
      <c r="H7" s="28" t="n">
        <v>17.03</v>
      </c>
      <c r="I7" s="37" t="inlineStr">
        <is>
          <t>Rectangle</t>
        </is>
      </c>
      <c r="J7" s="30" t="inlineStr">
        <is>
          <t>Y</t>
        </is>
      </c>
      <c r="K7" s="38">
        <f>G7*12</f>
        <v/>
      </c>
      <c r="L7" s="39">
        <f>CEILING(K7,1)</f>
        <v/>
      </c>
      <c r="M7" s="38">
        <f>L7-K7</f>
        <v/>
      </c>
      <c r="N7" s="39">
        <f>IF(J7="Y",EAVE_PROJECTION_IN,0)</f>
        <v/>
      </c>
      <c r="O7" s="39">
        <f>VERIFY_ALLOWANCE_IN</f>
        <v/>
      </c>
      <c r="P7" s="39">
        <f>MAX(MIN_CUT_IN,L7+N7+O7)</f>
        <v/>
      </c>
      <c r="Q7" s="38">
        <f>P7/12</f>
        <v/>
      </c>
      <c r="R7" s="37">
        <f>INT(P7/12)&amp;"'-"&amp;IF(MOD(P7,12)&lt;10,"0","")&amp;MOD(P7,12)&amp;""""</f>
        <v/>
      </c>
      <c r="S7" s="40">
        <f>IF(I7="Rectangle",12*F7/G7,IF(I7="Triangle",24*F7/G7,IF(24*F7/(G7+H7)&gt;45,NET_COVERAGE_IN,24*F7/(G7+H7))))</f>
        <v/>
      </c>
      <c r="T7" s="35">
        <f>IF(S7&lt;RIP_THRESHOLD_IN,"RIP","FULL")</f>
        <v/>
      </c>
      <c r="U7" s="35" t="inlineStr">
        <is>
          <t>B02</t>
        </is>
      </c>
      <c r="V7" s="36" t="inlineStr">
        <is>
          <t>eaves, stepflashing, unspecified</t>
        </is>
      </c>
      <c r="W7" s="35">
        <f>IF(AND(P7&gt;=MIN_CUT_IN,S7&gt;0,P7&gt;=L7),"PASS","CHECK")</f>
        <v/>
      </c>
    </row>
    <row r="8">
      <c r="A8" s="24" t="inlineStr">
        <is>
          <t>D05</t>
        </is>
      </c>
      <c r="B8" s="27" t="inlineStr">
        <is>
          <t>D</t>
        </is>
      </c>
      <c r="C8" s="27" t="n">
        <v>3</v>
      </c>
      <c r="D8" s="19" t="inlineStr">
        <is>
          <t>q6t2w</t>
        </is>
      </c>
      <c r="E8" s="27" t="inlineStr">
        <is>
          <t>8/12</t>
        </is>
      </c>
      <c r="F8" s="28" t="n">
        <v>50.83</v>
      </c>
      <c r="G8" s="29" t="n">
        <v>17.03</v>
      </c>
      <c r="H8" s="28" t="n">
        <v>17.03</v>
      </c>
      <c r="I8" s="16" t="inlineStr">
        <is>
          <t>Rectangle</t>
        </is>
      </c>
      <c r="J8" s="30" t="inlineStr">
        <is>
          <t>Y</t>
        </is>
      </c>
      <c r="K8" s="31">
        <f>G8*12</f>
        <v/>
      </c>
      <c r="L8" s="32">
        <f>CEILING(K8,1)</f>
        <v/>
      </c>
      <c r="M8" s="31">
        <f>L8-K8</f>
        <v/>
      </c>
      <c r="N8" s="32">
        <f>IF(J8="Y",EAVE_PROJECTION_IN,0)</f>
        <v/>
      </c>
      <c r="O8" s="32">
        <f>VERIFY_ALLOWANCE_IN</f>
        <v/>
      </c>
      <c r="P8" s="32">
        <f>MAX(MIN_CUT_IN,L8+N8+O8)</f>
        <v/>
      </c>
      <c r="Q8" s="31">
        <f>P8/12</f>
        <v/>
      </c>
      <c r="R8" s="16">
        <f>INT(P8/12)&amp;"'-"&amp;IF(MOD(P8,12)&lt;10,"0","")&amp;MOD(P8,12)&amp;""""</f>
        <v/>
      </c>
      <c r="S8" s="33">
        <f>IF(I8="Rectangle",12*F8/G8,IF(I8="Triangle",24*F8/G8,IF(24*F8/(G8+H8)&gt;45,NET_COVERAGE_IN,24*F8/(G8+H8))))</f>
        <v/>
      </c>
      <c r="T8" s="27">
        <f>IF(S8&lt;RIP_THRESHOLD_IN,"RIP","FULL")</f>
        <v/>
      </c>
      <c r="U8" s="27" t="inlineStr">
        <is>
          <t>B03</t>
        </is>
      </c>
      <c r="V8" s="19" t="inlineStr">
        <is>
          <t>eaves, stepflashing, unspecified</t>
        </is>
      </c>
      <c r="W8" s="27">
        <f>IF(AND(P8&gt;=MIN_CUT_IN,S8&gt;0,P8&gt;=L8),"PASS","CHECK")</f>
        <v/>
      </c>
    </row>
    <row r="9">
      <c r="A9" s="34" t="inlineStr">
        <is>
          <t>D06</t>
        </is>
      </c>
      <c r="B9" s="35" t="inlineStr">
        <is>
          <t>D</t>
        </is>
      </c>
      <c r="C9" s="35" t="n">
        <v>4</v>
      </c>
      <c r="D9" s="36" t="inlineStr">
        <is>
          <t>o9l5zb</t>
        </is>
      </c>
      <c r="E9" s="35" t="inlineStr">
        <is>
          <t>8/12</t>
        </is>
      </c>
      <c r="F9" s="28" t="n">
        <v>51.82</v>
      </c>
      <c r="G9" s="29" t="n">
        <v>17.03</v>
      </c>
      <c r="H9" s="28" t="n">
        <v>17.03</v>
      </c>
      <c r="I9" s="37" t="inlineStr">
        <is>
          <t>Rectangle</t>
        </is>
      </c>
      <c r="J9" s="30" t="inlineStr">
        <is>
          <t>Y</t>
        </is>
      </c>
      <c r="K9" s="38">
        <f>G9*12</f>
        <v/>
      </c>
      <c r="L9" s="39">
        <f>CEILING(K9,1)</f>
        <v/>
      </c>
      <c r="M9" s="38">
        <f>L9-K9</f>
        <v/>
      </c>
      <c r="N9" s="39">
        <f>IF(J9="Y",EAVE_PROJECTION_IN,0)</f>
        <v/>
      </c>
      <c r="O9" s="39">
        <f>VERIFY_ALLOWANCE_IN</f>
        <v/>
      </c>
      <c r="P9" s="39">
        <f>MAX(MIN_CUT_IN,L9+N9+O9)</f>
        <v/>
      </c>
      <c r="Q9" s="38">
        <f>P9/12</f>
        <v/>
      </c>
      <c r="R9" s="37">
        <f>INT(P9/12)&amp;"'-"&amp;IF(MOD(P9,12)&lt;10,"0","")&amp;MOD(P9,12)&amp;""""</f>
        <v/>
      </c>
      <c r="S9" s="40">
        <f>IF(I9="Rectangle",12*F9/G9,IF(I9="Triangle",24*F9/G9,IF(24*F9/(G9+H9)&gt;45,NET_COVERAGE_IN,24*F9/(G9+H9))))</f>
        <v/>
      </c>
      <c r="T9" s="35">
        <f>IF(S9&lt;RIP_THRESHOLD_IN,"RIP","FULL")</f>
        <v/>
      </c>
      <c r="U9" s="35" t="inlineStr">
        <is>
          <t>B04</t>
        </is>
      </c>
      <c r="V9" s="36" t="inlineStr">
        <is>
          <t>eaves, stepflashing, unspecified</t>
        </is>
      </c>
      <c r="W9" s="35">
        <f>IF(AND(P9&gt;=MIN_CUT_IN,S9&gt;0,P9&gt;=L9),"PASS","CHECK")</f>
        <v/>
      </c>
    </row>
    <row r="10">
      <c r="A10" s="24" t="inlineStr">
        <is>
          <t>D07</t>
        </is>
      </c>
      <c r="B10" s="27" t="inlineStr">
        <is>
          <t>D</t>
        </is>
      </c>
      <c r="C10" s="27" t="n">
        <v>5</v>
      </c>
      <c r="D10" s="19" t="inlineStr">
        <is>
          <t>ln7bsi</t>
        </is>
      </c>
      <c r="E10" s="27" t="inlineStr">
        <is>
          <t>8/12</t>
        </is>
      </c>
      <c r="F10" s="28" t="n">
        <v>51.33</v>
      </c>
      <c r="G10" s="29" t="n">
        <v>17.03</v>
      </c>
      <c r="H10" s="28" t="n">
        <v>17.03</v>
      </c>
      <c r="I10" s="16" t="inlineStr">
        <is>
          <t>Rectangle</t>
        </is>
      </c>
      <c r="J10" s="30" t="inlineStr">
        <is>
          <t>Y</t>
        </is>
      </c>
      <c r="K10" s="31">
        <f>G10*12</f>
        <v/>
      </c>
      <c r="L10" s="32">
        <f>CEILING(K10,1)</f>
        <v/>
      </c>
      <c r="M10" s="31">
        <f>L10-K10</f>
        <v/>
      </c>
      <c r="N10" s="32">
        <f>IF(J10="Y",EAVE_PROJECTION_IN,0)</f>
        <v/>
      </c>
      <c r="O10" s="32">
        <f>VERIFY_ALLOWANCE_IN</f>
        <v/>
      </c>
      <c r="P10" s="32">
        <f>MAX(MIN_CUT_IN,L10+N10+O10)</f>
        <v/>
      </c>
      <c r="Q10" s="31">
        <f>P10/12</f>
        <v/>
      </c>
      <c r="R10" s="16">
        <f>INT(P10/12)&amp;"'-"&amp;IF(MOD(P10,12)&lt;10,"0","")&amp;MOD(P10,12)&amp;""""</f>
        <v/>
      </c>
      <c r="S10" s="33">
        <f>IF(I10="Rectangle",12*F10/G10,IF(I10="Triangle",24*F10/G10,IF(24*F10/(G10+H10)&gt;45,NET_COVERAGE_IN,24*F10/(G10+H10))))</f>
        <v/>
      </c>
      <c r="T10" s="27">
        <f>IF(S10&lt;RIP_THRESHOLD_IN,"RIP","FULL")</f>
        <v/>
      </c>
      <c r="U10" s="27" t="inlineStr">
        <is>
          <t>B05</t>
        </is>
      </c>
      <c r="V10" s="19" t="inlineStr">
        <is>
          <t>eaves, stepflashing, unspecified</t>
        </is>
      </c>
      <c r="W10" s="27">
        <f>IF(AND(P10&gt;=MIN_CUT_IN,S10&gt;0,P10&gt;=L10),"PASS","CHECK")</f>
        <v/>
      </c>
    </row>
    <row r="11">
      <c r="A11" s="34" t="inlineStr">
        <is>
          <t>D08</t>
        </is>
      </c>
      <c r="B11" s="35" t="inlineStr">
        <is>
          <t>D</t>
        </is>
      </c>
      <c r="C11" s="35" t="n">
        <v>6</v>
      </c>
      <c r="D11" s="36" t="inlineStr">
        <is>
          <t>4166q</t>
        </is>
      </c>
      <c r="E11" s="35" t="inlineStr">
        <is>
          <t>8/12</t>
        </is>
      </c>
      <c r="F11" s="28" t="n">
        <v>51.18</v>
      </c>
      <c r="G11" s="29" t="n">
        <v>17.03</v>
      </c>
      <c r="H11" s="28" t="n">
        <v>17.03</v>
      </c>
      <c r="I11" s="37" t="inlineStr">
        <is>
          <t>Rectangle</t>
        </is>
      </c>
      <c r="J11" s="30" t="inlineStr">
        <is>
          <t>Y</t>
        </is>
      </c>
      <c r="K11" s="38">
        <f>G11*12</f>
        <v/>
      </c>
      <c r="L11" s="39">
        <f>CEILING(K11,1)</f>
        <v/>
      </c>
      <c r="M11" s="38">
        <f>L11-K11</f>
        <v/>
      </c>
      <c r="N11" s="39">
        <f>IF(J11="Y",EAVE_PROJECTION_IN,0)</f>
        <v/>
      </c>
      <c r="O11" s="39">
        <f>VERIFY_ALLOWANCE_IN</f>
        <v/>
      </c>
      <c r="P11" s="39">
        <f>MAX(MIN_CUT_IN,L11+N11+O11)</f>
        <v/>
      </c>
      <c r="Q11" s="38">
        <f>P11/12</f>
        <v/>
      </c>
      <c r="R11" s="37">
        <f>INT(P11/12)&amp;"'-"&amp;IF(MOD(P11,12)&lt;10,"0","")&amp;MOD(P11,12)&amp;""""</f>
        <v/>
      </c>
      <c r="S11" s="40">
        <f>IF(I11="Rectangle",12*F11/G11,IF(I11="Triangle",24*F11/G11,IF(24*F11/(G11+H11)&gt;45,NET_COVERAGE_IN,24*F11/(G11+H11))))</f>
        <v/>
      </c>
      <c r="T11" s="35">
        <f>IF(S11&lt;RIP_THRESHOLD_IN,"RIP","FULL")</f>
        <v/>
      </c>
      <c r="U11" s="35" t="inlineStr">
        <is>
          <t>B06</t>
        </is>
      </c>
      <c r="V11" s="36" t="inlineStr">
        <is>
          <t>eaves, stepflashing, unspecified</t>
        </is>
      </c>
      <c r="W11" s="35">
        <f>IF(AND(P11&gt;=MIN_CUT_IN,S11&gt;0,P11&gt;=L11),"PASS","CHECK")</f>
        <v/>
      </c>
    </row>
    <row r="12">
      <c r="A12" s="24" t="inlineStr">
        <is>
          <t>D09</t>
        </is>
      </c>
      <c r="B12" s="27" t="inlineStr">
        <is>
          <t>D</t>
        </is>
      </c>
      <c r="C12" s="27" t="n">
        <v>7</v>
      </c>
      <c r="D12" s="19" t="inlineStr">
        <is>
          <t>d80x2g</t>
        </is>
      </c>
      <c r="E12" s="27" t="inlineStr">
        <is>
          <t>8/12</t>
        </is>
      </c>
      <c r="F12" s="28" t="n">
        <v>45.97</v>
      </c>
      <c r="G12" s="29" t="n">
        <v>17.03</v>
      </c>
      <c r="H12" s="28" t="n">
        <v>0.15</v>
      </c>
      <c r="I12" s="16" t="inlineStr">
        <is>
          <t>Trapezoid</t>
        </is>
      </c>
      <c r="J12" s="30" t="inlineStr">
        <is>
          <t>Y</t>
        </is>
      </c>
      <c r="K12" s="31">
        <f>G12*12</f>
        <v/>
      </c>
      <c r="L12" s="32">
        <f>CEILING(K12,1)</f>
        <v/>
      </c>
      <c r="M12" s="31">
        <f>L12-K12</f>
        <v/>
      </c>
      <c r="N12" s="32">
        <f>IF(J12="Y",EAVE_PROJECTION_IN,0)</f>
        <v/>
      </c>
      <c r="O12" s="32">
        <f>VERIFY_ALLOWANCE_IN</f>
        <v/>
      </c>
      <c r="P12" s="32">
        <f>MAX(MIN_CUT_IN,L12+N12+O12)</f>
        <v/>
      </c>
      <c r="Q12" s="31">
        <f>P12/12</f>
        <v/>
      </c>
      <c r="R12" s="16">
        <f>INT(P12/12)&amp;"'-"&amp;IF(MOD(P12,12)&lt;10,"0","")&amp;MOD(P12,12)&amp;""""</f>
        <v/>
      </c>
      <c r="S12" s="33">
        <f>IF(I12="Rectangle",12*F12/G12,IF(I12="Triangle",24*F12/G12,IF(24*F12/(G12+H12)&gt;45,NET_COVERAGE_IN,24*F12/(G12+H12))))</f>
        <v/>
      </c>
      <c r="T12" s="27">
        <f>IF(S12&lt;RIP_THRESHOLD_IN,"RIP","FULL")</f>
        <v/>
      </c>
      <c r="U12" s="27" t="inlineStr">
        <is>
          <t>B07</t>
        </is>
      </c>
      <c r="V12" s="19" t="inlineStr">
        <is>
          <t>eaves, hips, rakes, stepflashing, valleys</t>
        </is>
      </c>
      <c r="W12" s="27">
        <f>IF(AND(P12&gt;=MIN_CUT_IN,S12&gt;0,P12&gt;=L12),"PASS","CHECK")</f>
        <v/>
      </c>
    </row>
    <row r="13">
      <c r="A13" s="34" t="inlineStr">
        <is>
          <t>D01</t>
        </is>
      </c>
      <c r="B13" s="35" t="inlineStr">
        <is>
          <t>D</t>
        </is>
      </c>
      <c r="C13" s="35" t="n">
        <v>8</v>
      </c>
      <c r="D13" s="36" t="inlineStr">
        <is>
          <t>74wnea</t>
        </is>
      </c>
      <c r="E13" s="35" t="inlineStr">
        <is>
          <t>8/12</t>
        </is>
      </c>
      <c r="F13" s="28" t="n">
        <v>27.45</v>
      </c>
      <c r="G13" s="29" t="n">
        <v>12.851</v>
      </c>
      <c r="H13" s="28" t="n">
        <v>4.49</v>
      </c>
      <c r="I13" s="37" t="inlineStr">
        <is>
          <t>Trapezoid</t>
        </is>
      </c>
      <c r="J13" s="30" t="inlineStr">
        <is>
          <t>N</t>
        </is>
      </c>
      <c r="K13" s="38">
        <f>G13*12</f>
        <v/>
      </c>
      <c r="L13" s="39">
        <f>CEILING(K13,1)</f>
        <v/>
      </c>
      <c r="M13" s="38">
        <f>L13-K13</f>
        <v/>
      </c>
      <c r="N13" s="39">
        <f>IF(J13="Y",EAVE_PROJECTION_IN,0)</f>
        <v/>
      </c>
      <c r="O13" s="39">
        <f>VERIFY_ALLOWANCE_IN</f>
        <v/>
      </c>
      <c r="P13" s="39">
        <f>MAX(MIN_CUT_IN,L13+N13+O13)</f>
        <v/>
      </c>
      <c r="Q13" s="38">
        <f>P13/12</f>
        <v/>
      </c>
      <c r="R13" s="37">
        <f>INT(P13/12)&amp;"'-"&amp;IF(MOD(P13,12)&lt;10,"0","")&amp;MOD(P13,12)&amp;""""</f>
        <v/>
      </c>
      <c r="S13" s="40">
        <f>IF(I13="Rectangle",12*F13/G13,IF(I13="Triangle",24*F13/G13,IF(24*F13/(G13+H13)&gt;45,NET_COVERAGE_IN,24*F13/(G13+H13))))</f>
        <v/>
      </c>
      <c r="T13" s="35">
        <f>IF(S13&lt;RIP_THRESHOLD_IN,"RIP","FULL")</f>
        <v/>
      </c>
      <c r="U13" s="35" t="inlineStr">
        <is>
          <t>B18</t>
        </is>
      </c>
      <c r="V13" s="36" t="inlineStr">
        <is>
          <t>hips, stepflashing, valleys</t>
        </is>
      </c>
      <c r="W13" s="35">
        <f>IF(AND(P13&gt;=MIN_CUT_IN,S13&gt;0,P13&gt;=L13),"PASS","CHECK")</f>
        <v/>
      </c>
    </row>
    <row r="14">
      <c r="A14" s="24" t="inlineStr">
        <is>
          <t>D02</t>
        </is>
      </c>
      <c r="B14" s="27" t="inlineStr">
        <is>
          <t>D</t>
        </is>
      </c>
      <c r="C14" s="27" t="n">
        <v>9</v>
      </c>
      <c r="D14" s="19" t="inlineStr">
        <is>
          <t>7v314c</t>
        </is>
      </c>
      <c r="E14" s="27" t="inlineStr">
        <is>
          <t>8/12</t>
        </is>
      </c>
      <c r="F14" s="28" t="n">
        <v>5.89</v>
      </c>
      <c r="G14" s="29" t="n">
        <v>5.401</v>
      </c>
      <c r="H14" s="28" t="n">
        <v>0</v>
      </c>
      <c r="I14" s="16" t="inlineStr">
        <is>
          <t>Triangle</t>
        </is>
      </c>
      <c r="J14" s="30" t="inlineStr">
        <is>
          <t>N</t>
        </is>
      </c>
      <c r="K14" s="31">
        <f>G14*12</f>
        <v/>
      </c>
      <c r="L14" s="32">
        <f>CEILING(K14,1)</f>
        <v/>
      </c>
      <c r="M14" s="31">
        <f>L14-K14</f>
        <v/>
      </c>
      <c r="N14" s="32">
        <f>IF(J14="Y",EAVE_PROJECTION_IN,0)</f>
        <v/>
      </c>
      <c r="O14" s="32">
        <f>VERIFY_ALLOWANCE_IN</f>
        <v/>
      </c>
      <c r="P14" s="32">
        <f>MAX(MIN_CUT_IN,L14+N14+O14)</f>
        <v/>
      </c>
      <c r="Q14" s="31">
        <f>P14/12</f>
        <v/>
      </c>
      <c r="R14" s="16">
        <f>INT(P14/12)&amp;"'-"&amp;IF(MOD(P14,12)&lt;10,"0","")&amp;MOD(P14,12)&amp;""""</f>
        <v/>
      </c>
      <c r="S14" s="33">
        <f>IF(I14="Rectangle",12*F14/G14,IF(I14="Triangle",24*F14/G14,IF(24*F14/(G14+H14)&gt;45,NET_COVERAGE_IN,24*F14/(G14+H14))))</f>
        <v/>
      </c>
      <c r="T14" s="27">
        <f>IF(S14&lt;RIP_THRESHOLD_IN,"RIP","FULL")</f>
        <v/>
      </c>
      <c r="U14" s="27" t="inlineStr">
        <is>
          <t>B43</t>
        </is>
      </c>
      <c r="V14" s="19" t="inlineStr">
        <is>
          <t>hips, stepflashing, valleys</t>
        </is>
      </c>
      <c r="W14" s="27">
        <f>IF(AND(P14&gt;=MIN_CUT_IN,S14&gt;0,P14&gt;=L14),"PASS","CHECK")</f>
        <v/>
      </c>
    </row>
    <row r="15">
      <c r="A15" s="34" t="inlineStr">
        <is>
          <t>E02</t>
        </is>
      </c>
      <c r="B15" s="35" t="inlineStr">
        <is>
          <t>E</t>
        </is>
      </c>
      <c r="C15" s="35" t="n">
        <v>1</v>
      </c>
      <c r="D15" s="36" t="inlineStr">
        <is>
          <t>bwdoh</t>
        </is>
      </c>
      <c r="E15" s="35" t="inlineStr">
        <is>
          <t>8/12</t>
        </is>
      </c>
      <c r="F15" s="28" t="n">
        <v>51.21</v>
      </c>
      <c r="G15" s="29" t="n">
        <v>17</v>
      </c>
      <c r="H15" s="28" t="n">
        <v>17</v>
      </c>
      <c r="I15" s="37" t="inlineStr">
        <is>
          <t>Rectangle</t>
        </is>
      </c>
      <c r="J15" s="30" t="inlineStr">
        <is>
          <t>Y</t>
        </is>
      </c>
      <c r="K15" s="38">
        <f>G15*12</f>
        <v/>
      </c>
      <c r="L15" s="39">
        <f>CEILING(K15,1)</f>
        <v/>
      </c>
      <c r="M15" s="38">
        <f>L15-K15</f>
        <v/>
      </c>
      <c r="N15" s="39">
        <f>IF(J15="Y",EAVE_PROJECTION_IN,0)</f>
        <v/>
      </c>
      <c r="O15" s="39">
        <f>VERIFY_ALLOWANCE_IN</f>
        <v/>
      </c>
      <c r="P15" s="39">
        <f>MAX(MIN_CUT_IN,L15+N15+O15)</f>
        <v/>
      </c>
      <c r="Q15" s="38">
        <f>P15/12</f>
        <v/>
      </c>
      <c r="R15" s="37">
        <f>INT(P15/12)&amp;"'-"&amp;IF(MOD(P15,12)&lt;10,"0","")&amp;MOD(P15,12)&amp;""""</f>
        <v/>
      </c>
      <c r="S15" s="40">
        <f>IF(I15="Rectangle",12*F15/G15,IF(I15="Triangle",24*F15/G15,IF(24*F15/(G15+H15)&gt;45,NET_COVERAGE_IN,24*F15/(G15+H15))))</f>
        <v/>
      </c>
      <c r="T15" s="35">
        <f>IF(S15&lt;RIP_THRESHOLD_IN,"RIP","FULL")</f>
        <v/>
      </c>
      <c r="U15" s="35" t="inlineStr">
        <is>
          <t>B08</t>
        </is>
      </c>
      <c r="V15" s="36" t="inlineStr">
        <is>
          <t>eaves, rakes, ridges, stepflashing</t>
        </is>
      </c>
      <c r="W15" s="35">
        <f>IF(AND(P15&gt;=MIN_CUT_IN,S15&gt;0,P15&gt;=L15),"PASS","CHECK")</f>
        <v/>
      </c>
    </row>
    <row r="16">
      <c r="A16" s="24" t="inlineStr">
        <is>
          <t>E03</t>
        </is>
      </c>
      <c r="B16" s="27" t="inlineStr">
        <is>
          <t>E</t>
        </is>
      </c>
      <c r="C16" s="27" t="n">
        <v>2</v>
      </c>
      <c r="D16" s="19" t="inlineStr">
        <is>
          <t>hlhg87</t>
        </is>
      </c>
      <c r="E16" s="27" t="inlineStr">
        <is>
          <t>8/12</t>
        </is>
      </c>
      <c r="F16" s="28" t="n">
        <v>51.24</v>
      </c>
      <c r="G16" s="29" t="n">
        <v>17</v>
      </c>
      <c r="H16" s="28" t="n">
        <v>17</v>
      </c>
      <c r="I16" s="16" t="inlineStr">
        <is>
          <t>Rectangle</t>
        </is>
      </c>
      <c r="J16" s="30" t="inlineStr">
        <is>
          <t>Y</t>
        </is>
      </c>
      <c r="K16" s="31">
        <f>G16*12</f>
        <v/>
      </c>
      <c r="L16" s="32">
        <f>CEILING(K16,1)</f>
        <v/>
      </c>
      <c r="M16" s="31">
        <f>L16-K16</f>
        <v/>
      </c>
      <c r="N16" s="32">
        <f>IF(J16="Y",EAVE_PROJECTION_IN,0)</f>
        <v/>
      </c>
      <c r="O16" s="32">
        <f>VERIFY_ALLOWANCE_IN</f>
        <v/>
      </c>
      <c r="P16" s="32">
        <f>MAX(MIN_CUT_IN,L16+N16+O16)</f>
        <v/>
      </c>
      <c r="Q16" s="31">
        <f>P16/12</f>
        <v/>
      </c>
      <c r="R16" s="16">
        <f>INT(P16/12)&amp;"'-"&amp;IF(MOD(P16,12)&lt;10,"0","")&amp;MOD(P16,12)&amp;""""</f>
        <v/>
      </c>
      <c r="S16" s="33">
        <f>IF(I16="Rectangle",12*F16/G16,IF(I16="Triangle",24*F16/G16,IF(24*F16/(G16+H16)&gt;45,NET_COVERAGE_IN,24*F16/(G16+H16))))</f>
        <v/>
      </c>
      <c r="T16" s="27">
        <f>IF(S16&lt;RIP_THRESHOLD_IN,"RIP","FULL")</f>
        <v/>
      </c>
      <c r="U16" s="27" t="inlineStr">
        <is>
          <t>B09</t>
        </is>
      </c>
      <c r="V16" s="19" t="inlineStr">
        <is>
          <t>eaves, ridges, stepflashing</t>
        </is>
      </c>
      <c r="W16" s="27">
        <f>IF(AND(P16&gt;=MIN_CUT_IN,S16&gt;0,P16&gt;=L16),"PASS","CHECK")</f>
        <v/>
      </c>
    </row>
    <row r="17">
      <c r="A17" s="34" t="inlineStr">
        <is>
          <t>E04</t>
        </is>
      </c>
      <c r="B17" s="35" t="inlineStr">
        <is>
          <t>E</t>
        </is>
      </c>
      <c r="C17" s="35" t="n">
        <v>3</v>
      </c>
      <c r="D17" s="36" t="inlineStr">
        <is>
          <t>5uv9re</t>
        </is>
      </c>
      <c r="E17" s="35" t="inlineStr">
        <is>
          <t>8/12</t>
        </is>
      </c>
      <c r="F17" s="28" t="n">
        <v>50.74</v>
      </c>
      <c r="G17" s="29" t="n">
        <v>17</v>
      </c>
      <c r="H17" s="28" t="n">
        <v>17</v>
      </c>
      <c r="I17" s="37" t="inlineStr">
        <is>
          <t>Rectangle</t>
        </is>
      </c>
      <c r="J17" s="30" t="inlineStr">
        <is>
          <t>Y</t>
        </is>
      </c>
      <c r="K17" s="38">
        <f>G17*12</f>
        <v/>
      </c>
      <c r="L17" s="39">
        <f>CEILING(K17,1)</f>
        <v/>
      </c>
      <c r="M17" s="38">
        <f>L17-K17</f>
        <v/>
      </c>
      <c r="N17" s="39">
        <f>IF(J17="Y",EAVE_PROJECTION_IN,0)</f>
        <v/>
      </c>
      <c r="O17" s="39">
        <f>VERIFY_ALLOWANCE_IN</f>
        <v/>
      </c>
      <c r="P17" s="39">
        <f>MAX(MIN_CUT_IN,L17+N17+O17)</f>
        <v/>
      </c>
      <c r="Q17" s="38">
        <f>P17/12</f>
        <v/>
      </c>
      <c r="R17" s="37">
        <f>INT(P17/12)&amp;"'-"&amp;IF(MOD(P17,12)&lt;10,"0","")&amp;MOD(P17,12)&amp;""""</f>
        <v/>
      </c>
      <c r="S17" s="40">
        <f>IF(I17="Rectangle",12*F17/G17,IF(I17="Triangle",24*F17/G17,IF(24*F17/(G17+H17)&gt;45,NET_COVERAGE_IN,24*F17/(G17+H17))))</f>
        <v/>
      </c>
      <c r="T17" s="35">
        <f>IF(S17&lt;RIP_THRESHOLD_IN,"RIP","FULL")</f>
        <v/>
      </c>
      <c r="U17" s="35" t="inlineStr">
        <is>
          <t>B10</t>
        </is>
      </c>
      <c r="V17" s="36" t="inlineStr">
        <is>
          <t>eaves, ridges, stepflashing</t>
        </is>
      </c>
      <c r="W17" s="35">
        <f>IF(AND(P17&gt;=MIN_CUT_IN,S17&gt;0,P17&gt;=L17),"PASS","CHECK")</f>
        <v/>
      </c>
    </row>
    <row r="18">
      <c r="A18" s="24" t="inlineStr">
        <is>
          <t>E05</t>
        </is>
      </c>
      <c r="B18" s="27" t="inlineStr">
        <is>
          <t>E</t>
        </is>
      </c>
      <c r="C18" s="27" t="n">
        <v>4</v>
      </c>
      <c r="D18" s="19" t="inlineStr">
        <is>
          <t>ypxvpc</t>
        </is>
      </c>
      <c r="E18" s="27" t="inlineStr">
        <is>
          <t>8/12</t>
        </is>
      </c>
      <c r="F18" s="28" t="n">
        <v>51.74</v>
      </c>
      <c r="G18" s="29" t="n">
        <v>17</v>
      </c>
      <c r="H18" s="28" t="n">
        <v>17</v>
      </c>
      <c r="I18" s="16" t="inlineStr">
        <is>
          <t>Rectangle</t>
        </is>
      </c>
      <c r="J18" s="30" t="inlineStr">
        <is>
          <t>Y</t>
        </is>
      </c>
      <c r="K18" s="31">
        <f>G18*12</f>
        <v/>
      </c>
      <c r="L18" s="32">
        <f>CEILING(K18,1)</f>
        <v/>
      </c>
      <c r="M18" s="31">
        <f>L18-K18</f>
        <v/>
      </c>
      <c r="N18" s="32">
        <f>IF(J18="Y",EAVE_PROJECTION_IN,0)</f>
        <v/>
      </c>
      <c r="O18" s="32">
        <f>VERIFY_ALLOWANCE_IN</f>
        <v/>
      </c>
      <c r="P18" s="32">
        <f>MAX(MIN_CUT_IN,L18+N18+O18)</f>
        <v/>
      </c>
      <c r="Q18" s="31">
        <f>P18/12</f>
        <v/>
      </c>
      <c r="R18" s="16">
        <f>INT(P18/12)&amp;"'-"&amp;IF(MOD(P18,12)&lt;10,"0","")&amp;MOD(P18,12)&amp;""""</f>
        <v/>
      </c>
      <c r="S18" s="33">
        <f>IF(I18="Rectangle",12*F18/G18,IF(I18="Triangle",24*F18/G18,IF(24*F18/(G18+H18)&gt;45,NET_COVERAGE_IN,24*F18/(G18+H18))))</f>
        <v/>
      </c>
      <c r="T18" s="27">
        <f>IF(S18&lt;RIP_THRESHOLD_IN,"RIP","FULL")</f>
        <v/>
      </c>
      <c r="U18" s="27" t="inlineStr">
        <is>
          <t>B11</t>
        </is>
      </c>
      <c r="V18" s="19" t="inlineStr">
        <is>
          <t>eaves, ridges, stepflashing</t>
        </is>
      </c>
      <c r="W18" s="27">
        <f>IF(AND(P18&gt;=MIN_CUT_IN,S18&gt;0,P18&gt;=L18),"PASS","CHECK")</f>
        <v/>
      </c>
    </row>
    <row r="19">
      <c r="A19" s="34" t="inlineStr">
        <is>
          <t>E06</t>
        </is>
      </c>
      <c r="B19" s="35" t="inlineStr">
        <is>
          <t>E</t>
        </is>
      </c>
      <c r="C19" s="35" t="n">
        <v>5</v>
      </c>
      <c r="D19" s="36" t="inlineStr">
        <is>
          <t>6xqyuh</t>
        </is>
      </c>
      <c r="E19" s="35" t="inlineStr">
        <is>
          <t>8/12</t>
        </is>
      </c>
      <c r="F19" s="28" t="n">
        <v>51.24</v>
      </c>
      <c r="G19" s="29" t="n">
        <v>17</v>
      </c>
      <c r="H19" s="28" t="n">
        <v>17</v>
      </c>
      <c r="I19" s="37" t="inlineStr">
        <is>
          <t>Rectangle</t>
        </is>
      </c>
      <c r="J19" s="30" t="inlineStr">
        <is>
          <t>Y</t>
        </is>
      </c>
      <c r="K19" s="38">
        <f>G19*12</f>
        <v/>
      </c>
      <c r="L19" s="39">
        <f>CEILING(K19,1)</f>
        <v/>
      </c>
      <c r="M19" s="38">
        <f>L19-K19</f>
        <v/>
      </c>
      <c r="N19" s="39">
        <f>IF(J19="Y",EAVE_PROJECTION_IN,0)</f>
        <v/>
      </c>
      <c r="O19" s="39">
        <f>VERIFY_ALLOWANCE_IN</f>
        <v/>
      </c>
      <c r="P19" s="39">
        <f>MAX(MIN_CUT_IN,L19+N19+O19)</f>
        <v/>
      </c>
      <c r="Q19" s="38">
        <f>P19/12</f>
        <v/>
      </c>
      <c r="R19" s="37">
        <f>INT(P19/12)&amp;"'-"&amp;IF(MOD(P19,12)&lt;10,"0","")&amp;MOD(P19,12)&amp;""""</f>
        <v/>
      </c>
      <c r="S19" s="40">
        <f>IF(I19="Rectangle",12*F19/G19,IF(I19="Triangle",24*F19/G19,IF(24*F19/(G19+H19)&gt;45,NET_COVERAGE_IN,24*F19/(G19+H19))))</f>
        <v/>
      </c>
      <c r="T19" s="35">
        <f>IF(S19&lt;RIP_THRESHOLD_IN,"RIP","FULL")</f>
        <v/>
      </c>
      <c r="U19" s="35" t="inlineStr">
        <is>
          <t>B12</t>
        </is>
      </c>
      <c r="V19" s="36" t="inlineStr">
        <is>
          <t>eaves, ridges, stepflashing</t>
        </is>
      </c>
      <c r="W19" s="35">
        <f>IF(AND(P19&gt;=MIN_CUT_IN,S19&gt;0,P19&gt;=L19),"PASS","CHECK")</f>
        <v/>
      </c>
    </row>
    <row r="20">
      <c r="A20" s="24" t="inlineStr">
        <is>
          <t>E07</t>
        </is>
      </c>
      <c r="B20" s="27" t="inlineStr">
        <is>
          <t>E</t>
        </is>
      </c>
      <c r="C20" s="27" t="n">
        <v>6</v>
      </c>
      <c r="D20" s="19" t="inlineStr">
        <is>
          <t>yprk5ei</t>
        </is>
      </c>
      <c r="E20" s="27" t="inlineStr">
        <is>
          <t>8/12</t>
        </is>
      </c>
      <c r="F20" s="28" t="n">
        <v>51.1</v>
      </c>
      <c r="G20" s="29" t="n">
        <v>17</v>
      </c>
      <c r="H20" s="28" t="n">
        <v>17</v>
      </c>
      <c r="I20" s="16" t="inlineStr">
        <is>
          <t>Rectangle</t>
        </is>
      </c>
      <c r="J20" s="30" t="inlineStr">
        <is>
          <t>Y</t>
        </is>
      </c>
      <c r="K20" s="31">
        <f>G20*12</f>
        <v/>
      </c>
      <c r="L20" s="32">
        <f>CEILING(K20,1)</f>
        <v/>
      </c>
      <c r="M20" s="31">
        <f>L20-K20</f>
        <v/>
      </c>
      <c r="N20" s="32">
        <f>IF(J20="Y",EAVE_PROJECTION_IN,0)</f>
        <v/>
      </c>
      <c r="O20" s="32">
        <f>VERIFY_ALLOWANCE_IN</f>
        <v/>
      </c>
      <c r="P20" s="32">
        <f>MAX(MIN_CUT_IN,L20+N20+O20)</f>
        <v/>
      </c>
      <c r="Q20" s="31">
        <f>P20/12</f>
        <v/>
      </c>
      <c r="R20" s="16">
        <f>INT(P20/12)&amp;"'-"&amp;IF(MOD(P20,12)&lt;10,"0","")&amp;MOD(P20,12)&amp;""""</f>
        <v/>
      </c>
      <c r="S20" s="33">
        <f>IF(I20="Rectangle",12*F20/G20,IF(I20="Triangle",24*F20/G20,IF(24*F20/(G20+H20)&gt;45,NET_COVERAGE_IN,24*F20/(G20+H20))))</f>
        <v/>
      </c>
      <c r="T20" s="27">
        <f>IF(S20&lt;RIP_THRESHOLD_IN,"RIP","FULL")</f>
        <v/>
      </c>
      <c r="U20" s="27" t="inlineStr">
        <is>
          <t>B13</t>
        </is>
      </c>
      <c r="V20" s="19" t="inlineStr">
        <is>
          <t>eaves, ridges, stepflashing</t>
        </is>
      </c>
      <c r="W20" s="27">
        <f>IF(AND(P20&gt;=MIN_CUT_IN,S20&gt;0,P20&gt;=L20),"PASS","CHECK")</f>
        <v/>
      </c>
    </row>
    <row r="21">
      <c r="A21" s="34" t="inlineStr">
        <is>
          <t>E01</t>
        </is>
      </c>
      <c r="B21" s="35" t="inlineStr">
        <is>
          <t>E</t>
        </is>
      </c>
      <c r="C21" s="35" t="n">
        <v>7</v>
      </c>
      <c r="D21" s="36" t="inlineStr">
        <is>
          <t>yua4nl</t>
        </is>
      </c>
      <c r="E21" s="35" t="inlineStr">
        <is>
          <t>8/12</t>
        </is>
      </c>
      <c r="F21" s="28" t="n">
        <v>45.85</v>
      </c>
      <c r="G21" s="29" t="n">
        <v>17</v>
      </c>
      <c r="H21" s="28" t="n">
        <v>0.17</v>
      </c>
      <c r="I21" s="37" t="inlineStr">
        <is>
          <t>Trapezoid</t>
        </is>
      </c>
      <c r="J21" s="30" t="inlineStr">
        <is>
          <t>Y</t>
        </is>
      </c>
      <c r="K21" s="38">
        <f>G21*12</f>
        <v/>
      </c>
      <c r="L21" s="39">
        <f>CEILING(K21,1)</f>
        <v/>
      </c>
      <c r="M21" s="38">
        <f>L21-K21</f>
        <v/>
      </c>
      <c r="N21" s="39">
        <f>IF(J21="Y",EAVE_PROJECTION_IN,0)</f>
        <v/>
      </c>
      <c r="O21" s="39">
        <f>VERIFY_ALLOWANCE_IN</f>
        <v/>
      </c>
      <c r="P21" s="39">
        <f>MAX(MIN_CUT_IN,L21+N21+O21)</f>
        <v/>
      </c>
      <c r="Q21" s="38">
        <f>P21/12</f>
        <v/>
      </c>
      <c r="R21" s="37">
        <f>INT(P21/12)&amp;"'-"&amp;IF(MOD(P21,12)&lt;10,"0","")&amp;MOD(P21,12)&amp;""""</f>
        <v/>
      </c>
      <c r="S21" s="40">
        <f>IF(I21="Rectangle",12*F21/G21,IF(I21="Triangle",24*F21/G21,IF(24*F21/(G21+H21)&gt;45,NET_COVERAGE_IN,24*F21/(G21+H21))))</f>
        <v/>
      </c>
      <c r="T21" s="35">
        <f>IF(S21&lt;RIP_THRESHOLD_IN,"RIP","FULL")</f>
        <v/>
      </c>
      <c r="U21" s="35" t="inlineStr">
        <is>
          <t>B14</t>
        </is>
      </c>
      <c r="V21" s="36" t="inlineStr">
        <is>
          <t>eaves, hips, rakes, ridges, stepflashing, valleys</t>
        </is>
      </c>
      <c r="W21" s="35">
        <f>IF(AND(P21&gt;=MIN_CUT_IN,S21&gt;0,P21&gt;=L21),"PASS","CHECK")</f>
        <v/>
      </c>
    </row>
    <row r="22">
      <c r="A22" s="24" t="inlineStr">
        <is>
          <t>E08</t>
        </is>
      </c>
      <c r="B22" s="27" t="inlineStr">
        <is>
          <t>E</t>
        </is>
      </c>
      <c r="C22" s="27" t="n">
        <v>8</v>
      </c>
      <c r="D22" s="19" t="inlineStr">
        <is>
          <t>iv6ac9</t>
        </is>
      </c>
      <c r="E22" s="27" t="inlineStr">
        <is>
          <t>8/12</t>
        </is>
      </c>
      <c r="F22" s="28" t="n">
        <v>27.36</v>
      </c>
      <c r="G22" s="29" t="n">
        <v>12.81</v>
      </c>
      <c r="H22" s="28" t="n">
        <v>4.48</v>
      </c>
      <c r="I22" s="16" t="inlineStr">
        <is>
          <t>Trapezoid</t>
        </is>
      </c>
      <c r="J22" s="30" t="inlineStr">
        <is>
          <t>N</t>
        </is>
      </c>
      <c r="K22" s="31">
        <f>G22*12</f>
        <v/>
      </c>
      <c r="L22" s="32">
        <f>CEILING(K22,1)</f>
        <v/>
      </c>
      <c r="M22" s="31">
        <f>L22-K22</f>
        <v/>
      </c>
      <c r="N22" s="32">
        <f>IF(J22="Y",EAVE_PROJECTION_IN,0)</f>
        <v/>
      </c>
      <c r="O22" s="32">
        <f>VERIFY_ALLOWANCE_IN</f>
        <v/>
      </c>
      <c r="P22" s="32">
        <f>MAX(MIN_CUT_IN,L22+N22+O22)</f>
        <v/>
      </c>
      <c r="Q22" s="31">
        <f>P22/12</f>
        <v/>
      </c>
      <c r="R22" s="16">
        <f>INT(P22/12)&amp;"'-"&amp;IF(MOD(P22,12)&lt;10,"0","")&amp;MOD(P22,12)&amp;""""</f>
        <v/>
      </c>
      <c r="S22" s="33">
        <f>IF(I22="Rectangle",12*F22/G22,IF(I22="Triangle",24*F22/G22,IF(24*F22/(G22+H22)&gt;45,NET_COVERAGE_IN,24*F22/(G22+H22))))</f>
        <v/>
      </c>
      <c r="T22" s="27">
        <f>IF(S22&lt;RIP_THRESHOLD_IN,"RIP","FULL")</f>
        <v/>
      </c>
      <c r="U22" s="27" t="inlineStr">
        <is>
          <t>B19</t>
        </is>
      </c>
      <c r="V22" s="19" t="inlineStr">
        <is>
          <t>hips, stepflashing, valleys</t>
        </is>
      </c>
      <c r="W22" s="27">
        <f>IF(AND(P22&gt;=MIN_CUT_IN,S22&gt;0,P22&gt;=L22),"PASS","CHECK")</f>
        <v/>
      </c>
    </row>
    <row r="23">
      <c r="A23" s="34" t="inlineStr">
        <is>
          <t>E09</t>
        </is>
      </c>
      <c r="B23" s="35" t="inlineStr">
        <is>
          <t>E</t>
        </is>
      </c>
      <c r="C23" s="35" t="n">
        <v>9</v>
      </c>
      <c r="D23" s="36" t="inlineStr">
        <is>
          <t>h61guq</t>
        </is>
      </c>
      <c r="E23" s="35" t="inlineStr">
        <is>
          <t>8/12</t>
        </is>
      </c>
      <c r="F23" s="28" t="n">
        <v>5.87</v>
      </c>
      <c r="G23" s="29" t="n">
        <v>5.383</v>
      </c>
      <c r="H23" s="28" t="n">
        <v>0</v>
      </c>
      <c r="I23" s="37" t="inlineStr">
        <is>
          <t>Triangle</t>
        </is>
      </c>
      <c r="J23" s="30" t="inlineStr">
        <is>
          <t>N</t>
        </is>
      </c>
      <c r="K23" s="38">
        <f>G23*12</f>
        <v/>
      </c>
      <c r="L23" s="39">
        <f>CEILING(K23,1)</f>
        <v/>
      </c>
      <c r="M23" s="38">
        <f>L23-K23</f>
        <v/>
      </c>
      <c r="N23" s="39">
        <f>IF(J23="Y",EAVE_PROJECTION_IN,0)</f>
        <v/>
      </c>
      <c r="O23" s="39">
        <f>VERIFY_ALLOWANCE_IN</f>
        <v/>
      </c>
      <c r="P23" s="39">
        <f>MAX(MIN_CUT_IN,L23+N23+O23)</f>
        <v/>
      </c>
      <c r="Q23" s="38">
        <f>P23/12</f>
        <v/>
      </c>
      <c r="R23" s="37">
        <f>INT(P23/12)&amp;"'-"&amp;IF(MOD(P23,12)&lt;10,"0","")&amp;MOD(P23,12)&amp;""""</f>
        <v/>
      </c>
      <c r="S23" s="40">
        <f>IF(I23="Rectangle",12*F23/G23,IF(I23="Triangle",24*F23/G23,IF(24*F23/(G23+H23)&gt;45,NET_COVERAGE_IN,24*F23/(G23+H23))))</f>
        <v/>
      </c>
      <c r="T23" s="35">
        <f>IF(S23&lt;RIP_THRESHOLD_IN,"RIP","FULL")</f>
        <v/>
      </c>
      <c r="U23" s="35" t="inlineStr">
        <is>
          <t>B44</t>
        </is>
      </c>
      <c r="V23" s="36" t="inlineStr">
        <is>
          <t>hips, stepflashing, valleys</t>
        </is>
      </c>
      <c r="W23" s="35">
        <f>IF(AND(P23&gt;=MIN_CUT_IN,S23&gt;0,P23&gt;=L23),"PASS","CHECK")</f>
        <v/>
      </c>
    </row>
    <row r="24">
      <c r="A24" s="41" t="inlineStr">
        <is>
          <t>H01</t>
        </is>
      </c>
      <c r="B24" s="27" t="inlineStr">
        <is>
          <t>H</t>
        </is>
      </c>
      <c r="C24" s="27" t="n">
        <v>1</v>
      </c>
      <c r="D24" s="19" t="inlineStr">
        <is>
          <t>fy5cqv</t>
        </is>
      </c>
      <c r="E24" s="27" t="inlineStr">
        <is>
          <t>4/12</t>
        </is>
      </c>
      <c r="F24" s="28" t="n">
        <v>4.7</v>
      </c>
      <c r="G24" s="29" t="n">
        <v>9.9</v>
      </c>
      <c r="H24" s="28" t="n">
        <v>9.4</v>
      </c>
      <c r="I24" s="16" t="inlineStr">
        <is>
          <t>Trapezoid</t>
        </is>
      </c>
      <c r="J24" s="30" t="inlineStr">
        <is>
          <t>Y</t>
        </is>
      </c>
      <c r="K24" s="31">
        <f>G24*12</f>
        <v/>
      </c>
      <c r="L24" s="32">
        <f>CEILING(K24,1)</f>
        <v/>
      </c>
      <c r="M24" s="31">
        <f>L24-K24</f>
        <v/>
      </c>
      <c r="N24" s="32">
        <f>IF(J24="Y",EAVE_PROJECTION_IN,0)</f>
        <v/>
      </c>
      <c r="O24" s="32">
        <f>VERIFY_ALLOWANCE_IN</f>
        <v/>
      </c>
      <c r="P24" s="32">
        <f>MAX(MIN_CUT_IN,L24+N24+O24)</f>
        <v/>
      </c>
      <c r="Q24" s="31">
        <f>P24/12</f>
        <v/>
      </c>
      <c r="R24" s="16">
        <f>INT(P24/12)&amp;"'-"&amp;IF(MOD(P24,12)&lt;10,"0","")&amp;MOD(P24,12)&amp;""""</f>
        <v/>
      </c>
      <c r="S24" s="42">
        <f>IF(I24="Rectangle",12*F24/G24,IF(I24="Triangle",24*F24/G24,IF(24*F24/(G24+H24)&gt;45,NET_COVERAGE_IN,24*F24/(G24+H24))))</f>
        <v/>
      </c>
      <c r="T24" s="43">
        <f>IF(S24&lt;RIP_THRESHOLD_IN,"RIP","FULL")</f>
        <v/>
      </c>
      <c r="U24" s="43" t="inlineStr">
        <is>
          <t>B20</t>
        </is>
      </c>
      <c r="V24" s="19" t="inlineStr">
        <is>
          <t>rakes, stepflashing, unspecified</t>
        </is>
      </c>
      <c r="W24" s="27">
        <f>IF(AND(P24&gt;=MIN_CUT_IN,S24&gt;0,P24&gt;=L24),"PASS","CHECK")</f>
        <v/>
      </c>
    </row>
    <row r="25">
      <c r="A25" s="34" t="inlineStr">
        <is>
          <t>H02</t>
        </is>
      </c>
      <c r="B25" s="35" t="inlineStr">
        <is>
          <t>H</t>
        </is>
      </c>
      <c r="C25" s="35" t="n">
        <v>2</v>
      </c>
      <c r="D25" s="36" t="inlineStr">
        <is>
          <t>wkuerd</t>
        </is>
      </c>
      <c r="E25" s="35" t="inlineStr">
        <is>
          <t>4/12</t>
        </is>
      </c>
      <c r="F25" s="28" t="n">
        <v>29.96</v>
      </c>
      <c r="G25" s="29" t="n">
        <v>9.9</v>
      </c>
      <c r="H25" s="28" t="n">
        <v>9.9</v>
      </c>
      <c r="I25" s="37" t="inlineStr">
        <is>
          <t>Rectangle</t>
        </is>
      </c>
      <c r="J25" s="30" t="inlineStr">
        <is>
          <t>Y</t>
        </is>
      </c>
      <c r="K25" s="38">
        <f>G25*12</f>
        <v/>
      </c>
      <c r="L25" s="39">
        <f>CEILING(K25,1)</f>
        <v/>
      </c>
      <c r="M25" s="38">
        <f>L25-K25</f>
        <v/>
      </c>
      <c r="N25" s="39">
        <f>IF(J25="Y",EAVE_PROJECTION_IN,0)</f>
        <v/>
      </c>
      <c r="O25" s="39">
        <f>VERIFY_ALLOWANCE_IN</f>
        <v/>
      </c>
      <c r="P25" s="39">
        <f>MAX(MIN_CUT_IN,L25+N25+O25)</f>
        <v/>
      </c>
      <c r="Q25" s="38">
        <f>P25/12</f>
        <v/>
      </c>
      <c r="R25" s="37">
        <f>INT(P25/12)&amp;"'-"&amp;IF(MOD(P25,12)&lt;10,"0","")&amp;MOD(P25,12)&amp;""""</f>
        <v/>
      </c>
      <c r="S25" s="40">
        <f>IF(I25="Rectangle",12*F25/G25,IF(I25="Triangle",24*F25/G25,IF(24*F25/(G25+H25)&gt;45,NET_COVERAGE_IN,24*F25/(G25+H25))))</f>
        <v/>
      </c>
      <c r="T25" s="35">
        <f>IF(S25&lt;RIP_THRESHOLD_IN,"RIP","FULL")</f>
        <v/>
      </c>
      <c r="U25" s="35" t="inlineStr">
        <is>
          <t>B21</t>
        </is>
      </c>
      <c r="V25" s="36" t="inlineStr">
        <is>
          <t>eaves, stepflashing, unspecified</t>
        </is>
      </c>
      <c r="W25" s="35">
        <f>IF(AND(P25&gt;=MIN_CUT_IN,S25&gt;0,P25&gt;=L25),"PASS","CHECK")</f>
        <v/>
      </c>
    </row>
    <row r="26">
      <c r="A26" s="24" t="inlineStr">
        <is>
          <t>H03</t>
        </is>
      </c>
      <c r="B26" s="27" t="inlineStr">
        <is>
          <t>H</t>
        </is>
      </c>
      <c r="C26" s="27" t="n">
        <v>3</v>
      </c>
      <c r="D26" s="19" t="inlineStr">
        <is>
          <t>d44two</t>
        </is>
      </c>
      <c r="E26" s="27" t="inlineStr">
        <is>
          <t>4/12</t>
        </is>
      </c>
      <c r="F26" s="28" t="n">
        <v>29.52</v>
      </c>
      <c r="G26" s="29" t="n">
        <v>9.9</v>
      </c>
      <c r="H26" s="28" t="n">
        <v>9.9</v>
      </c>
      <c r="I26" s="16" t="inlineStr">
        <is>
          <t>Rectangle</t>
        </is>
      </c>
      <c r="J26" s="30" t="inlineStr">
        <is>
          <t>Y</t>
        </is>
      </c>
      <c r="K26" s="31">
        <f>G26*12</f>
        <v/>
      </c>
      <c r="L26" s="32">
        <f>CEILING(K26,1)</f>
        <v/>
      </c>
      <c r="M26" s="31">
        <f>L26-K26</f>
        <v/>
      </c>
      <c r="N26" s="32">
        <f>IF(J26="Y",EAVE_PROJECTION_IN,0)</f>
        <v/>
      </c>
      <c r="O26" s="32">
        <f>VERIFY_ALLOWANCE_IN</f>
        <v/>
      </c>
      <c r="P26" s="32">
        <f>MAX(MIN_CUT_IN,L26+N26+O26)</f>
        <v/>
      </c>
      <c r="Q26" s="31">
        <f>P26/12</f>
        <v/>
      </c>
      <c r="R26" s="16">
        <f>INT(P26/12)&amp;"'-"&amp;IF(MOD(P26,12)&lt;10,"0","")&amp;MOD(P26,12)&amp;""""</f>
        <v/>
      </c>
      <c r="S26" s="33">
        <f>IF(I26="Rectangle",12*F26/G26,IF(I26="Triangle",24*F26/G26,IF(24*F26/(G26+H26)&gt;45,NET_COVERAGE_IN,24*F26/(G26+H26))))</f>
        <v/>
      </c>
      <c r="T26" s="27">
        <f>IF(S26&lt;RIP_THRESHOLD_IN,"RIP","FULL")</f>
        <v/>
      </c>
      <c r="U26" s="27" t="inlineStr">
        <is>
          <t>B22</t>
        </is>
      </c>
      <c r="V26" s="19" t="inlineStr">
        <is>
          <t>eaves, stepflashing, unspecified</t>
        </is>
      </c>
      <c r="W26" s="27">
        <f>IF(AND(P26&gt;=MIN_CUT_IN,S26&gt;0,P26&gt;=L26),"PASS","CHECK")</f>
        <v/>
      </c>
    </row>
    <row r="27">
      <c r="A27" s="34" t="inlineStr">
        <is>
          <t>H04</t>
        </is>
      </c>
      <c r="B27" s="35" t="inlineStr">
        <is>
          <t>H</t>
        </is>
      </c>
      <c r="C27" s="35" t="n">
        <v>4</v>
      </c>
      <c r="D27" s="36" t="inlineStr">
        <is>
          <t>vzcews</t>
        </is>
      </c>
      <c r="E27" s="35" t="inlineStr">
        <is>
          <t>4/12</t>
        </is>
      </c>
      <c r="F27" s="28" t="n">
        <v>29.97</v>
      </c>
      <c r="G27" s="29" t="n">
        <v>9.9</v>
      </c>
      <c r="H27" s="28" t="n">
        <v>9.9</v>
      </c>
      <c r="I27" s="37" t="inlineStr">
        <is>
          <t>Rectangle</t>
        </is>
      </c>
      <c r="J27" s="30" t="inlineStr">
        <is>
          <t>Y</t>
        </is>
      </c>
      <c r="K27" s="38">
        <f>G27*12</f>
        <v/>
      </c>
      <c r="L27" s="39">
        <f>CEILING(K27,1)</f>
        <v/>
      </c>
      <c r="M27" s="38">
        <f>L27-K27</f>
        <v/>
      </c>
      <c r="N27" s="39">
        <f>IF(J27="Y",EAVE_PROJECTION_IN,0)</f>
        <v/>
      </c>
      <c r="O27" s="39">
        <f>VERIFY_ALLOWANCE_IN</f>
        <v/>
      </c>
      <c r="P27" s="39">
        <f>MAX(MIN_CUT_IN,L27+N27+O27)</f>
        <v/>
      </c>
      <c r="Q27" s="38">
        <f>P27/12</f>
        <v/>
      </c>
      <c r="R27" s="37">
        <f>INT(P27/12)&amp;"'-"&amp;IF(MOD(P27,12)&lt;10,"0","")&amp;MOD(P27,12)&amp;""""</f>
        <v/>
      </c>
      <c r="S27" s="40">
        <f>IF(I27="Rectangle",12*F27/G27,IF(I27="Triangle",24*F27/G27,IF(24*F27/(G27+H27)&gt;45,NET_COVERAGE_IN,24*F27/(G27+H27))))</f>
        <v/>
      </c>
      <c r="T27" s="35">
        <f>IF(S27&lt;RIP_THRESHOLD_IN,"RIP","FULL")</f>
        <v/>
      </c>
      <c r="U27" s="35" t="inlineStr">
        <is>
          <t>B23</t>
        </is>
      </c>
      <c r="V27" s="36" t="inlineStr">
        <is>
          <t>eaves, stepflashing, unspecified</t>
        </is>
      </c>
      <c r="W27" s="35">
        <f>IF(AND(P27&gt;=MIN_CUT_IN,S27&gt;0,P27&gt;=L27),"PASS","CHECK")</f>
        <v/>
      </c>
    </row>
    <row r="28">
      <c r="A28" s="24" t="inlineStr">
        <is>
          <t>H05</t>
        </is>
      </c>
      <c r="B28" s="27" t="inlineStr">
        <is>
          <t>H</t>
        </is>
      </c>
      <c r="C28" s="27" t="n">
        <v>5</v>
      </c>
      <c r="D28" s="19" t="inlineStr">
        <is>
          <t>hu9o3e</t>
        </is>
      </c>
      <c r="E28" s="27" t="inlineStr">
        <is>
          <t>4/12</t>
        </is>
      </c>
      <c r="F28" s="28" t="n">
        <v>29.55</v>
      </c>
      <c r="G28" s="29" t="n">
        <v>9.9</v>
      </c>
      <c r="H28" s="28" t="n">
        <v>9.9</v>
      </c>
      <c r="I28" s="16" t="inlineStr">
        <is>
          <t>Rectangle</t>
        </is>
      </c>
      <c r="J28" s="30" t="inlineStr">
        <is>
          <t>Y</t>
        </is>
      </c>
      <c r="K28" s="31">
        <f>G28*12</f>
        <v/>
      </c>
      <c r="L28" s="32">
        <f>CEILING(K28,1)</f>
        <v/>
      </c>
      <c r="M28" s="31">
        <f>L28-K28</f>
        <v/>
      </c>
      <c r="N28" s="32">
        <f>IF(J28="Y",EAVE_PROJECTION_IN,0)</f>
        <v/>
      </c>
      <c r="O28" s="32">
        <f>VERIFY_ALLOWANCE_IN</f>
        <v/>
      </c>
      <c r="P28" s="32">
        <f>MAX(MIN_CUT_IN,L28+N28+O28)</f>
        <v/>
      </c>
      <c r="Q28" s="31">
        <f>P28/12</f>
        <v/>
      </c>
      <c r="R28" s="16">
        <f>INT(P28/12)&amp;"'-"&amp;IF(MOD(P28,12)&lt;10,"0","")&amp;MOD(P28,12)&amp;""""</f>
        <v/>
      </c>
      <c r="S28" s="33">
        <f>IF(I28="Rectangle",12*F28/G28,IF(I28="Triangle",24*F28/G28,IF(24*F28/(G28+H28)&gt;45,NET_COVERAGE_IN,24*F28/(G28+H28))))</f>
        <v/>
      </c>
      <c r="T28" s="27">
        <f>IF(S28&lt;RIP_THRESHOLD_IN,"RIP","FULL")</f>
        <v/>
      </c>
      <c r="U28" s="27" t="inlineStr">
        <is>
          <t>B24</t>
        </is>
      </c>
      <c r="V28" s="19" t="inlineStr">
        <is>
          <t>eaves, stepflashing, unspecified</t>
        </is>
      </c>
      <c r="W28" s="27">
        <f>IF(AND(P28&gt;=MIN_CUT_IN,S28&gt;0,P28&gt;=L28),"PASS","CHECK")</f>
        <v/>
      </c>
    </row>
    <row r="29">
      <c r="A29" s="34" t="inlineStr">
        <is>
          <t>H06</t>
        </is>
      </c>
      <c r="B29" s="35" t="inlineStr">
        <is>
          <t>H</t>
        </is>
      </c>
      <c r="C29" s="35" t="n">
        <v>6</v>
      </c>
      <c r="D29" s="36" t="inlineStr">
        <is>
          <t>sr84kh</t>
        </is>
      </c>
      <c r="E29" s="35" t="inlineStr">
        <is>
          <t>4/12</t>
        </is>
      </c>
      <c r="F29" s="28" t="n">
        <v>29.55</v>
      </c>
      <c r="G29" s="29" t="n">
        <v>9.9</v>
      </c>
      <c r="H29" s="28" t="n">
        <v>9.9</v>
      </c>
      <c r="I29" s="37" t="inlineStr">
        <is>
          <t>Rectangle</t>
        </is>
      </c>
      <c r="J29" s="30" t="inlineStr">
        <is>
          <t>Y</t>
        </is>
      </c>
      <c r="K29" s="38">
        <f>G29*12</f>
        <v/>
      </c>
      <c r="L29" s="39">
        <f>CEILING(K29,1)</f>
        <v/>
      </c>
      <c r="M29" s="38">
        <f>L29-K29</f>
        <v/>
      </c>
      <c r="N29" s="39">
        <f>IF(J29="Y",EAVE_PROJECTION_IN,0)</f>
        <v/>
      </c>
      <c r="O29" s="39">
        <f>VERIFY_ALLOWANCE_IN</f>
        <v/>
      </c>
      <c r="P29" s="39">
        <f>MAX(MIN_CUT_IN,L29+N29+O29)</f>
        <v/>
      </c>
      <c r="Q29" s="38">
        <f>P29/12</f>
        <v/>
      </c>
      <c r="R29" s="37">
        <f>INT(P29/12)&amp;"'-"&amp;IF(MOD(P29,12)&lt;10,"0","")&amp;MOD(P29,12)&amp;""""</f>
        <v/>
      </c>
      <c r="S29" s="40">
        <f>IF(I29="Rectangle",12*F29/G29,IF(I29="Triangle",24*F29/G29,IF(24*F29/(G29+H29)&gt;45,NET_COVERAGE_IN,24*F29/(G29+H29))))</f>
        <v/>
      </c>
      <c r="T29" s="35">
        <f>IF(S29&lt;RIP_THRESHOLD_IN,"RIP","FULL")</f>
        <v/>
      </c>
      <c r="U29" s="35" t="inlineStr">
        <is>
          <t>B25</t>
        </is>
      </c>
      <c r="V29" s="36" t="inlineStr">
        <is>
          <t>eaves, stepflashing, unspecified</t>
        </is>
      </c>
      <c r="W29" s="35">
        <f>IF(AND(P29&gt;=MIN_CUT_IN,S29&gt;0,P29&gt;=L29),"PASS","CHECK")</f>
        <v/>
      </c>
    </row>
    <row r="30">
      <c r="A30" s="24" t="inlineStr">
        <is>
          <t>H07</t>
        </is>
      </c>
      <c r="B30" s="27" t="inlineStr">
        <is>
          <t>H</t>
        </is>
      </c>
      <c r="C30" s="27" t="n">
        <v>7</v>
      </c>
      <c r="D30" s="19" t="inlineStr">
        <is>
          <t>7wcmnd</t>
        </is>
      </c>
      <c r="E30" s="27" t="inlineStr">
        <is>
          <t>4/12</t>
        </is>
      </c>
      <c r="F30" s="28" t="n">
        <v>30.07</v>
      </c>
      <c r="G30" s="29" t="n">
        <v>9.9</v>
      </c>
      <c r="H30" s="28" t="n">
        <v>9.9</v>
      </c>
      <c r="I30" s="16" t="inlineStr">
        <is>
          <t>Rectangle</t>
        </is>
      </c>
      <c r="J30" s="30" t="inlineStr">
        <is>
          <t>Y</t>
        </is>
      </c>
      <c r="K30" s="31">
        <f>G30*12</f>
        <v/>
      </c>
      <c r="L30" s="32">
        <f>CEILING(K30,1)</f>
        <v/>
      </c>
      <c r="M30" s="31">
        <f>L30-K30</f>
        <v/>
      </c>
      <c r="N30" s="32">
        <f>IF(J30="Y",EAVE_PROJECTION_IN,0)</f>
        <v/>
      </c>
      <c r="O30" s="32">
        <f>VERIFY_ALLOWANCE_IN</f>
        <v/>
      </c>
      <c r="P30" s="32">
        <f>MAX(MIN_CUT_IN,L30+N30+O30)</f>
        <v/>
      </c>
      <c r="Q30" s="31">
        <f>P30/12</f>
        <v/>
      </c>
      <c r="R30" s="16">
        <f>INT(P30/12)&amp;"'-"&amp;IF(MOD(P30,12)&lt;10,"0","")&amp;MOD(P30,12)&amp;""""</f>
        <v/>
      </c>
      <c r="S30" s="33">
        <f>IF(I30="Rectangle",12*F30/G30,IF(I30="Triangle",24*F30/G30,IF(24*F30/(G30+H30)&gt;45,NET_COVERAGE_IN,24*F30/(G30+H30))))</f>
        <v/>
      </c>
      <c r="T30" s="27">
        <f>IF(S30&lt;RIP_THRESHOLD_IN,"RIP","FULL")</f>
        <v/>
      </c>
      <c r="U30" s="27" t="inlineStr">
        <is>
          <t>B26</t>
        </is>
      </c>
      <c r="V30" s="19" t="inlineStr">
        <is>
          <t>eaves, stepflashing, unspecified</t>
        </is>
      </c>
      <c r="W30" s="27">
        <f>IF(AND(P30&gt;=MIN_CUT_IN,S30&gt;0,P30&gt;=L30),"PASS","CHECK")</f>
        <v/>
      </c>
    </row>
    <row r="31">
      <c r="A31" s="34" t="inlineStr">
        <is>
          <t>H08</t>
        </is>
      </c>
      <c r="B31" s="35" t="inlineStr">
        <is>
          <t>H</t>
        </is>
      </c>
      <c r="C31" s="35" t="n">
        <v>8</v>
      </c>
      <c r="D31" s="36" t="inlineStr">
        <is>
          <t>uk1xqb</t>
        </is>
      </c>
      <c r="E31" s="35" t="inlineStr">
        <is>
          <t>4/12</t>
        </is>
      </c>
      <c r="F31" s="28" t="n">
        <v>29.97</v>
      </c>
      <c r="G31" s="29" t="n">
        <v>9.9</v>
      </c>
      <c r="H31" s="28" t="n">
        <v>9.9</v>
      </c>
      <c r="I31" s="37" t="inlineStr">
        <is>
          <t>Rectangle</t>
        </is>
      </c>
      <c r="J31" s="30" t="inlineStr">
        <is>
          <t>Y</t>
        </is>
      </c>
      <c r="K31" s="38">
        <f>G31*12</f>
        <v/>
      </c>
      <c r="L31" s="39">
        <f>CEILING(K31,1)</f>
        <v/>
      </c>
      <c r="M31" s="38">
        <f>L31-K31</f>
        <v/>
      </c>
      <c r="N31" s="39">
        <f>IF(J31="Y",EAVE_PROJECTION_IN,0)</f>
        <v/>
      </c>
      <c r="O31" s="39">
        <f>VERIFY_ALLOWANCE_IN</f>
        <v/>
      </c>
      <c r="P31" s="39">
        <f>MAX(MIN_CUT_IN,L31+N31+O31)</f>
        <v/>
      </c>
      <c r="Q31" s="38">
        <f>P31/12</f>
        <v/>
      </c>
      <c r="R31" s="37">
        <f>INT(P31/12)&amp;"'-"&amp;IF(MOD(P31,12)&lt;10,"0","")&amp;MOD(P31,12)&amp;""""</f>
        <v/>
      </c>
      <c r="S31" s="40">
        <f>IF(I31="Rectangle",12*F31/G31,IF(I31="Triangle",24*F31/G31,IF(24*F31/(G31+H31)&gt;45,NET_COVERAGE_IN,24*F31/(G31+H31))))</f>
        <v/>
      </c>
      <c r="T31" s="35">
        <f>IF(S31&lt;RIP_THRESHOLD_IN,"RIP","FULL")</f>
        <v/>
      </c>
      <c r="U31" s="35" t="inlineStr">
        <is>
          <t>B27</t>
        </is>
      </c>
      <c r="V31" s="36" t="inlineStr">
        <is>
          <t>eaves, stepflashing, unspecified</t>
        </is>
      </c>
      <c r="W31" s="35">
        <f>IF(AND(P31&gt;=MIN_CUT_IN,S31&gt;0,P31&gt;=L31),"PASS","CHECK")</f>
        <v/>
      </c>
    </row>
    <row r="32">
      <c r="A32" s="24" t="inlineStr">
        <is>
          <t>H09</t>
        </is>
      </c>
      <c r="B32" s="27" t="inlineStr">
        <is>
          <t>H</t>
        </is>
      </c>
      <c r="C32" s="27" t="n">
        <v>9</v>
      </c>
      <c r="D32" s="19" t="inlineStr">
        <is>
          <t>jm1xbm</t>
        </is>
      </c>
      <c r="E32" s="27" t="inlineStr">
        <is>
          <t>4/12</t>
        </is>
      </c>
      <c r="F32" s="28" t="n">
        <v>30.07</v>
      </c>
      <c r="G32" s="29" t="n">
        <v>9.9</v>
      </c>
      <c r="H32" s="28" t="n">
        <v>9.9</v>
      </c>
      <c r="I32" s="16" t="inlineStr">
        <is>
          <t>Rectangle</t>
        </is>
      </c>
      <c r="J32" s="30" t="inlineStr">
        <is>
          <t>Y</t>
        </is>
      </c>
      <c r="K32" s="31">
        <f>G32*12</f>
        <v/>
      </c>
      <c r="L32" s="32">
        <f>CEILING(K32,1)</f>
        <v/>
      </c>
      <c r="M32" s="31">
        <f>L32-K32</f>
        <v/>
      </c>
      <c r="N32" s="32">
        <f>IF(J32="Y",EAVE_PROJECTION_IN,0)</f>
        <v/>
      </c>
      <c r="O32" s="32">
        <f>VERIFY_ALLOWANCE_IN</f>
        <v/>
      </c>
      <c r="P32" s="32">
        <f>MAX(MIN_CUT_IN,L32+N32+O32)</f>
        <v/>
      </c>
      <c r="Q32" s="31">
        <f>P32/12</f>
        <v/>
      </c>
      <c r="R32" s="16">
        <f>INT(P32/12)&amp;"'-"&amp;IF(MOD(P32,12)&lt;10,"0","")&amp;MOD(P32,12)&amp;""""</f>
        <v/>
      </c>
      <c r="S32" s="33">
        <f>IF(I32="Rectangle",12*F32/G32,IF(I32="Triangle",24*F32/G32,IF(24*F32/(G32+H32)&gt;45,NET_COVERAGE_IN,24*F32/(G32+H32))))</f>
        <v/>
      </c>
      <c r="T32" s="27">
        <f>IF(S32&lt;RIP_THRESHOLD_IN,"RIP","FULL")</f>
        <v/>
      </c>
      <c r="U32" s="27" t="inlineStr">
        <is>
          <t>B28</t>
        </is>
      </c>
      <c r="V32" s="19" t="inlineStr">
        <is>
          <t>eaves, stepflashing, unspecified</t>
        </is>
      </c>
      <c r="W32" s="27">
        <f>IF(AND(P32&gt;=MIN_CUT_IN,S32&gt;0,P32&gt;=L32),"PASS","CHECK")</f>
        <v/>
      </c>
    </row>
    <row r="33">
      <c r="A33" s="34" t="inlineStr">
        <is>
          <t>H10</t>
        </is>
      </c>
      <c r="B33" s="35" t="inlineStr">
        <is>
          <t>H</t>
        </is>
      </c>
      <c r="C33" s="35" t="n">
        <v>10</v>
      </c>
      <c r="D33" s="36" t="inlineStr">
        <is>
          <t>9rtna</t>
        </is>
      </c>
      <c r="E33" s="35" t="inlineStr">
        <is>
          <t>4/12</t>
        </is>
      </c>
      <c r="F33" s="28" t="n">
        <v>29.56</v>
      </c>
      <c r="G33" s="29" t="n">
        <v>9.9</v>
      </c>
      <c r="H33" s="28" t="n">
        <v>9.9</v>
      </c>
      <c r="I33" s="37" t="inlineStr">
        <is>
          <t>Rectangle</t>
        </is>
      </c>
      <c r="J33" s="30" t="inlineStr">
        <is>
          <t>Y</t>
        </is>
      </c>
      <c r="K33" s="38">
        <f>G33*12</f>
        <v/>
      </c>
      <c r="L33" s="39">
        <f>CEILING(K33,1)</f>
        <v/>
      </c>
      <c r="M33" s="38">
        <f>L33-K33</f>
        <v/>
      </c>
      <c r="N33" s="39">
        <f>IF(J33="Y",EAVE_PROJECTION_IN,0)</f>
        <v/>
      </c>
      <c r="O33" s="39">
        <f>VERIFY_ALLOWANCE_IN</f>
        <v/>
      </c>
      <c r="P33" s="39">
        <f>MAX(MIN_CUT_IN,L33+N33+O33)</f>
        <v/>
      </c>
      <c r="Q33" s="38">
        <f>P33/12</f>
        <v/>
      </c>
      <c r="R33" s="37">
        <f>INT(P33/12)&amp;"'-"&amp;IF(MOD(P33,12)&lt;10,"0","")&amp;MOD(P33,12)&amp;""""</f>
        <v/>
      </c>
      <c r="S33" s="40">
        <f>IF(I33="Rectangle",12*F33/G33,IF(I33="Triangle",24*F33/G33,IF(24*F33/(G33+H33)&gt;45,NET_COVERAGE_IN,24*F33/(G33+H33))))</f>
        <v/>
      </c>
      <c r="T33" s="35">
        <f>IF(S33&lt;RIP_THRESHOLD_IN,"RIP","FULL")</f>
        <v/>
      </c>
      <c r="U33" s="35" t="inlineStr">
        <is>
          <t>B29</t>
        </is>
      </c>
      <c r="V33" s="36" t="inlineStr">
        <is>
          <t>eaves, stepflashing, unspecified</t>
        </is>
      </c>
      <c r="W33" s="35">
        <f>IF(AND(P33&gt;=MIN_CUT_IN,S33&gt;0,P33&gt;=L33),"PASS","CHECK")</f>
        <v/>
      </c>
    </row>
    <row r="34">
      <c r="A34" s="41" t="inlineStr">
        <is>
          <t>H11</t>
        </is>
      </c>
      <c r="B34" s="27" t="inlineStr">
        <is>
          <t>H</t>
        </is>
      </c>
      <c r="C34" s="27" t="n">
        <v>11</v>
      </c>
      <c r="D34" s="19" t="inlineStr">
        <is>
          <t>tqwo4s</t>
        </is>
      </c>
      <c r="E34" s="27" t="inlineStr">
        <is>
          <t>4/12</t>
        </is>
      </c>
      <c r="F34" s="28" t="n">
        <v>4.91</v>
      </c>
      <c r="G34" s="29" t="n">
        <v>9.9</v>
      </c>
      <c r="H34" s="28" t="n">
        <v>9.4</v>
      </c>
      <c r="I34" s="16" t="inlineStr">
        <is>
          <t>Trapezoid</t>
        </is>
      </c>
      <c r="J34" s="30" t="inlineStr">
        <is>
          <t>Y</t>
        </is>
      </c>
      <c r="K34" s="31">
        <f>G34*12</f>
        <v/>
      </c>
      <c r="L34" s="32">
        <f>CEILING(K34,1)</f>
        <v/>
      </c>
      <c r="M34" s="31">
        <f>L34-K34</f>
        <v/>
      </c>
      <c r="N34" s="32">
        <f>IF(J34="Y",EAVE_PROJECTION_IN,0)</f>
        <v/>
      </c>
      <c r="O34" s="32">
        <f>VERIFY_ALLOWANCE_IN</f>
        <v/>
      </c>
      <c r="P34" s="32">
        <f>MAX(MIN_CUT_IN,L34+N34+O34)</f>
        <v/>
      </c>
      <c r="Q34" s="31">
        <f>P34/12</f>
        <v/>
      </c>
      <c r="R34" s="16">
        <f>INT(P34/12)&amp;"'-"&amp;IF(MOD(P34,12)&lt;10,"0","")&amp;MOD(P34,12)&amp;""""</f>
        <v/>
      </c>
      <c r="S34" s="42">
        <f>IF(I34="Rectangle",12*F34/G34,IF(I34="Triangle",24*F34/G34,IF(24*F34/(G34+H34)&gt;45,NET_COVERAGE_IN,24*F34/(G34+H34))))</f>
        <v/>
      </c>
      <c r="T34" s="43">
        <f>IF(S34&lt;RIP_THRESHOLD_IN,"RIP","FULL")</f>
        <v/>
      </c>
      <c r="U34" s="43" t="inlineStr">
        <is>
          <t>B30</t>
        </is>
      </c>
      <c r="V34" s="19" t="inlineStr">
        <is>
          <t>rakes, stepflashing, unspecified</t>
        </is>
      </c>
      <c r="W34" s="27">
        <f>IF(AND(P34&gt;=MIN_CUT_IN,S34&gt;0,P34&gt;=L34),"PASS","CHECK")</f>
        <v/>
      </c>
    </row>
    <row r="35">
      <c r="A35" s="44" t="inlineStr">
        <is>
          <t>I01</t>
        </is>
      </c>
      <c r="B35" s="35" t="inlineStr">
        <is>
          <t>I</t>
        </is>
      </c>
      <c r="C35" s="35" t="n">
        <v>1</v>
      </c>
      <c r="D35" s="36" t="inlineStr">
        <is>
          <t>wcwrtl</t>
        </is>
      </c>
      <c r="E35" s="35" t="inlineStr">
        <is>
          <t>11/12</t>
        </is>
      </c>
      <c r="F35" s="28" t="n">
        <v>3.82</v>
      </c>
      <c r="G35" s="29" t="n">
        <v>8.039999999999999</v>
      </c>
      <c r="H35" s="28" t="n">
        <v>8.039999999999999</v>
      </c>
      <c r="I35" s="37" t="inlineStr">
        <is>
          <t>Rectangle</t>
        </is>
      </c>
      <c r="J35" s="30" t="inlineStr">
        <is>
          <t>Y</t>
        </is>
      </c>
      <c r="K35" s="38">
        <f>G35*12</f>
        <v/>
      </c>
      <c r="L35" s="39">
        <f>CEILING(K35,1)</f>
        <v/>
      </c>
      <c r="M35" s="38">
        <f>L35-K35</f>
        <v/>
      </c>
      <c r="N35" s="39">
        <f>IF(J35="Y",EAVE_PROJECTION_IN,0)</f>
        <v/>
      </c>
      <c r="O35" s="39">
        <f>VERIFY_ALLOWANCE_IN</f>
        <v/>
      </c>
      <c r="P35" s="39">
        <f>MAX(MIN_CUT_IN,L35+N35+O35)</f>
        <v/>
      </c>
      <c r="Q35" s="38">
        <f>P35/12</f>
        <v/>
      </c>
      <c r="R35" s="37">
        <f>INT(P35/12)&amp;"'-"&amp;IF(MOD(P35,12)&lt;10,"0","")&amp;MOD(P35,12)&amp;""""</f>
        <v/>
      </c>
      <c r="S35" s="45">
        <f>IF(I35="Rectangle",12*F35/G35,IF(I35="Triangle",24*F35/G35,IF(24*F35/(G35+H35)&gt;45,NET_COVERAGE_IN,24*F35/(G35+H35))))</f>
        <v/>
      </c>
      <c r="T35" s="46">
        <f>IF(S35&lt;RIP_THRESHOLD_IN,"RIP","FULL")</f>
        <v/>
      </c>
      <c r="U35" s="46" t="inlineStr">
        <is>
          <t>B35</t>
        </is>
      </c>
      <c r="V35" s="36" t="inlineStr">
        <is>
          <t>rakes, stepflashing, unspecified</t>
        </is>
      </c>
      <c r="W35" s="35">
        <f>IF(AND(P35&gt;=MIN_CUT_IN,S35&gt;0,P35&gt;=L35),"PASS","CHECK")</f>
        <v/>
      </c>
    </row>
    <row r="36">
      <c r="A36" s="24" t="inlineStr">
        <is>
          <t>I02</t>
        </is>
      </c>
      <c r="B36" s="27" t="inlineStr">
        <is>
          <t>I</t>
        </is>
      </c>
      <c r="C36" s="27" t="n">
        <v>2</v>
      </c>
      <c r="D36" s="19" t="inlineStr">
        <is>
          <t>qyjynl</t>
        </is>
      </c>
      <c r="E36" s="27" t="inlineStr">
        <is>
          <t>11/12</t>
        </is>
      </c>
      <c r="F36" s="28" t="n">
        <v>24.33</v>
      </c>
      <c r="G36" s="29" t="n">
        <v>8.041</v>
      </c>
      <c r="H36" s="28" t="n">
        <v>8.039999999999999</v>
      </c>
      <c r="I36" s="16" t="inlineStr">
        <is>
          <t>Rectangle</t>
        </is>
      </c>
      <c r="J36" s="30" t="inlineStr">
        <is>
          <t>Y</t>
        </is>
      </c>
      <c r="K36" s="31">
        <f>G36*12</f>
        <v/>
      </c>
      <c r="L36" s="32">
        <f>CEILING(K36,1)</f>
        <v/>
      </c>
      <c r="M36" s="31">
        <f>L36-K36</f>
        <v/>
      </c>
      <c r="N36" s="32">
        <f>IF(J36="Y",EAVE_PROJECTION_IN,0)</f>
        <v/>
      </c>
      <c r="O36" s="32">
        <f>VERIFY_ALLOWANCE_IN</f>
        <v/>
      </c>
      <c r="P36" s="32">
        <f>MAX(MIN_CUT_IN,L36+N36+O36)</f>
        <v/>
      </c>
      <c r="Q36" s="31">
        <f>P36/12</f>
        <v/>
      </c>
      <c r="R36" s="16">
        <f>INT(P36/12)&amp;"'-"&amp;IF(MOD(P36,12)&lt;10,"0","")&amp;MOD(P36,12)&amp;""""</f>
        <v/>
      </c>
      <c r="S36" s="33">
        <f>IF(I36="Rectangle",12*F36/G36,IF(I36="Triangle",24*F36/G36,IF(24*F36/(G36+H36)&gt;45,NET_COVERAGE_IN,24*F36/(G36+H36))))</f>
        <v/>
      </c>
      <c r="T36" s="27">
        <f>IF(S36&lt;RIP_THRESHOLD_IN,"RIP","FULL")</f>
        <v/>
      </c>
      <c r="U36" s="27" t="inlineStr">
        <is>
          <t>B36</t>
        </is>
      </c>
      <c r="V36" s="19" t="inlineStr">
        <is>
          <t>eaves, ridges, stepflashing</t>
        </is>
      </c>
      <c r="W36" s="27">
        <f>IF(AND(P36&gt;=MIN_CUT_IN,S36&gt;0,P36&gt;=L36),"PASS","CHECK")</f>
        <v/>
      </c>
    </row>
    <row r="37">
      <c r="A37" s="34" t="inlineStr">
        <is>
          <t>I03</t>
        </is>
      </c>
      <c r="B37" s="35" t="inlineStr">
        <is>
          <t>I</t>
        </is>
      </c>
      <c r="C37" s="35" t="n">
        <v>3</v>
      </c>
      <c r="D37" s="36" t="inlineStr">
        <is>
          <t>wpt5v</t>
        </is>
      </c>
      <c r="E37" s="35" t="inlineStr">
        <is>
          <t>11/12</t>
        </is>
      </c>
      <c r="F37" s="28" t="n">
        <v>23.97</v>
      </c>
      <c r="G37" s="29" t="n">
        <v>8.041</v>
      </c>
      <c r="H37" s="28" t="n">
        <v>8.039999999999999</v>
      </c>
      <c r="I37" s="37" t="inlineStr">
        <is>
          <t>Rectangle</t>
        </is>
      </c>
      <c r="J37" s="30" t="inlineStr">
        <is>
          <t>Y</t>
        </is>
      </c>
      <c r="K37" s="38">
        <f>G37*12</f>
        <v/>
      </c>
      <c r="L37" s="39">
        <f>CEILING(K37,1)</f>
        <v/>
      </c>
      <c r="M37" s="38">
        <f>L37-K37</f>
        <v/>
      </c>
      <c r="N37" s="39">
        <f>IF(J37="Y",EAVE_PROJECTION_IN,0)</f>
        <v/>
      </c>
      <c r="O37" s="39">
        <f>VERIFY_ALLOWANCE_IN</f>
        <v/>
      </c>
      <c r="P37" s="39">
        <f>MAX(MIN_CUT_IN,L37+N37+O37)</f>
        <v/>
      </c>
      <c r="Q37" s="38">
        <f>P37/12</f>
        <v/>
      </c>
      <c r="R37" s="37">
        <f>INT(P37/12)&amp;"'-"&amp;IF(MOD(P37,12)&lt;10,"0","")&amp;MOD(P37,12)&amp;""""</f>
        <v/>
      </c>
      <c r="S37" s="40">
        <f>IF(I37="Rectangle",12*F37/G37,IF(I37="Triangle",24*F37/G37,IF(24*F37/(G37+H37)&gt;45,NET_COVERAGE_IN,24*F37/(G37+H37))))</f>
        <v/>
      </c>
      <c r="T37" s="35">
        <f>IF(S37&lt;RIP_THRESHOLD_IN,"RIP","FULL")</f>
        <v/>
      </c>
      <c r="U37" s="35" t="inlineStr">
        <is>
          <t>B37</t>
        </is>
      </c>
      <c r="V37" s="36" t="inlineStr">
        <is>
          <t>eaves, ridges, stepflashing</t>
        </is>
      </c>
      <c r="W37" s="35">
        <f>IF(AND(P37&gt;=MIN_CUT_IN,S37&gt;0,P37&gt;=L37),"PASS","CHECK")</f>
        <v/>
      </c>
    </row>
    <row r="38">
      <c r="A38" s="24" t="inlineStr">
        <is>
          <t>I04</t>
        </is>
      </c>
      <c r="B38" s="27" t="inlineStr">
        <is>
          <t>I</t>
        </is>
      </c>
      <c r="C38" s="27" t="n">
        <v>4</v>
      </c>
      <c r="D38" s="19" t="inlineStr">
        <is>
          <t>37y2l</t>
        </is>
      </c>
      <c r="E38" s="27" t="inlineStr">
        <is>
          <t>11/12</t>
        </is>
      </c>
      <c r="F38" s="28" t="n">
        <v>24.94</v>
      </c>
      <c r="G38" s="29" t="n">
        <v>9.265000000000001</v>
      </c>
      <c r="H38" s="28" t="n">
        <v>8.039999999999999</v>
      </c>
      <c r="I38" s="16" t="inlineStr">
        <is>
          <t>Trapezoid</t>
        </is>
      </c>
      <c r="J38" s="30" t="inlineStr">
        <is>
          <t>Y</t>
        </is>
      </c>
      <c r="K38" s="31">
        <f>G38*12</f>
        <v/>
      </c>
      <c r="L38" s="32">
        <f>CEILING(K38,1)</f>
        <v/>
      </c>
      <c r="M38" s="31">
        <f>L38-K38</f>
        <v/>
      </c>
      <c r="N38" s="32">
        <f>IF(J38="Y",EAVE_PROJECTION_IN,0)</f>
        <v/>
      </c>
      <c r="O38" s="32">
        <f>VERIFY_ALLOWANCE_IN</f>
        <v/>
      </c>
      <c r="P38" s="32">
        <f>MAX(MIN_CUT_IN,L38+N38+O38)</f>
        <v/>
      </c>
      <c r="Q38" s="31">
        <f>P38/12</f>
        <v/>
      </c>
      <c r="R38" s="16">
        <f>INT(P38/12)&amp;"'-"&amp;IF(MOD(P38,12)&lt;10,"0","")&amp;MOD(P38,12)&amp;""""</f>
        <v/>
      </c>
      <c r="S38" s="33">
        <f>IF(I38="Rectangle",12*F38/G38,IF(I38="Triangle",24*F38/G38,IF(24*F38/(G38+H38)&gt;45,NET_COVERAGE_IN,24*F38/(G38+H38))))</f>
        <v/>
      </c>
      <c r="T38" s="27">
        <f>IF(S38&lt;RIP_THRESHOLD_IN,"RIP","FULL")</f>
        <v/>
      </c>
      <c r="U38" s="27" t="inlineStr">
        <is>
          <t>B31</t>
        </is>
      </c>
      <c r="V38" s="19" t="inlineStr">
        <is>
          <t>eaves, hips, ridges, stepflashing, unspecified</t>
        </is>
      </c>
      <c r="W38" s="27">
        <f>IF(AND(P38&gt;=MIN_CUT_IN,S38&gt;0,P38&gt;=L38),"PASS","CHECK")</f>
        <v/>
      </c>
    </row>
    <row r="39">
      <c r="A39" s="34" t="inlineStr">
        <is>
          <t>I05</t>
        </is>
      </c>
      <c r="B39" s="35" t="inlineStr">
        <is>
          <t>I</t>
        </is>
      </c>
      <c r="C39" s="35" t="n">
        <v>5</v>
      </c>
      <c r="D39" s="36" t="inlineStr">
        <is>
          <t>tk8l5r</t>
        </is>
      </c>
      <c r="E39" s="35" t="inlineStr">
        <is>
          <t>11/12</t>
        </is>
      </c>
      <c r="F39" s="28" t="n">
        <v>33.91</v>
      </c>
      <c r="G39" s="29" t="n">
        <v>13.567</v>
      </c>
      <c r="H39" s="28" t="n">
        <v>9.27</v>
      </c>
      <c r="I39" s="37" t="inlineStr">
        <is>
          <t>Trapezoid</t>
        </is>
      </c>
      <c r="J39" s="30" t="inlineStr">
        <is>
          <t>Y</t>
        </is>
      </c>
      <c r="K39" s="38">
        <f>G39*12</f>
        <v/>
      </c>
      <c r="L39" s="39">
        <f>CEILING(K39,1)</f>
        <v/>
      </c>
      <c r="M39" s="38">
        <f>L39-K39</f>
        <v/>
      </c>
      <c r="N39" s="39">
        <f>IF(J39="Y",EAVE_PROJECTION_IN,0)</f>
        <v/>
      </c>
      <c r="O39" s="39">
        <f>VERIFY_ALLOWANCE_IN</f>
        <v/>
      </c>
      <c r="P39" s="39">
        <f>MAX(MIN_CUT_IN,L39+N39+O39)</f>
        <v/>
      </c>
      <c r="Q39" s="38">
        <f>P39/12</f>
        <v/>
      </c>
      <c r="R39" s="37">
        <f>INT(P39/12)&amp;"'-"&amp;IF(MOD(P39,12)&lt;10,"0","")&amp;MOD(P39,12)&amp;""""</f>
        <v/>
      </c>
      <c r="S39" s="40">
        <f>IF(I39="Rectangle",12*F39/G39,IF(I39="Triangle",24*F39/G39,IF(24*F39/(G39+H39)&gt;45,NET_COVERAGE_IN,24*F39/(G39+H39))))</f>
        <v/>
      </c>
      <c r="T39" s="35">
        <f>IF(S39&lt;RIP_THRESHOLD_IN,"RIP","FULL")</f>
        <v/>
      </c>
      <c r="U39" s="35" t="inlineStr">
        <is>
          <t>B17</t>
        </is>
      </c>
      <c r="V39" s="36" t="inlineStr">
        <is>
          <t>eaves, hips, stepflashing</t>
        </is>
      </c>
      <c r="W39" s="35">
        <f>IF(AND(P39&gt;=MIN_CUT_IN,S39&gt;0,P39&gt;=L39),"PASS","CHECK")</f>
        <v/>
      </c>
    </row>
    <row r="40">
      <c r="A40" s="24" t="inlineStr">
        <is>
          <t>I06</t>
        </is>
      </c>
      <c r="B40" s="27" t="inlineStr">
        <is>
          <t>I</t>
        </is>
      </c>
      <c r="C40" s="27" t="n">
        <v>6</v>
      </c>
      <c r="D40" s="19" t="inlineStr">
        <is>
          <t>24wu8b</t>
        </is>
      </c>
      <c r="E40" s="27" t="inlineStr">
        <is>
          <t>11/12</t>
        </is>
      </c>
      <c r="F40" s="28" t="n">
        <v>43.84</v>
      </c>
      <c r="G40" s="29" t="n">
        <v>15.77</v>
      </c>
      <c r="H40" s="28" t="n">
        <v>13.57</v>
      </c>
      <c r="I40" s="16" t="inlineStr">
        <is>
          <t>Trapezoid</t>
        </is>
      </c>
      <c r="J40" s="30" t="inlineStr">
        <is>
          <t>Y</t>
        </is>
      </c>
      <c r="K40" s="31">
        <f>G40*12</f>
        <v/>
      </c>
      <c r="L40" s="32">
        <f>CEILING(K40,1)</f>
        <v/>
      </c>
      <c r="M40" s="31">
        <f>L40-K40</f>
        <v/>
      </c>
      <c r="N40" s="32">
        <f>IF(J40="Y",EAVE_PROJECTION_IN,0)</f>
        <v/>
      </c>
      <c r="O40" s="32">
        <f>VERIFY_ALLOWANCE_IN</f>
        <v/>
      </c>
      <c r="P40" s="32">
        <f>MAX(MIN_CUT_IN,L40+N40+O40)</f>
        <v/>
      </c>
      <c r="Q40" s="31">
        <f>P40/12</f>
        <v/>
      </c>
      <c r="R40" s="16">
        <f>INT(P40/12)&amp;"'-"&amp;IF(MOD(P40,12)&lt;10,"0","")&amp;MOD(P40,12)&amp;""""</f>
        <v/>
      </c>
      <c r="S40" s="33">
        <f>IF(I40="Rectangle",12*F40/G40,IF(I40="Triangle",24*F40/G40,IF(24*F40/(G40+H40)&gt;45,NET_COVERAGE_IN,24*F40/(G40+H40))))</f>
        <v/>
      </c>
      <c r="T40" s="27">
        <f>IF(S40&lt;RIP_THRESHOLD_IN,"RIP","FULL")</f>
        <v/>
      </c>
      <c r="U40" s="27" t="inlineStr">
        <is>
          <t>B15</t>
        </is>
      </c>
      <c r="V40" s="19" t="inlineStr">
        <is>
          <t>eaves, hips, stepflashing</t>
        </is>
      </c>
      <c r="W40" s="27">
        <f>IF(AND(P40&gt;=MIN_CUT_IN,S40&gt;0,P40&gt;=L40),"PASS","CHECK")</f>
        <v/>
      </c>
    </row>
    <row r="41">
      <c r="A41" s="34" t="inlineStr">
        <is>
          <t>I07</t>
        </is>
      </c>
      <c r="B41" s="35" t="inlineStr">
        <is>
          <t>I</t>
        </is>
      </c>
      <c r="C41" s="35" t="n">
        <v>7</v>
      </c>
      <c r="D41" s="36" t="inlineStr">
        <is>
          <t>iyw2o8</t>
        </is>
      </c>
      <c r="E41" s="35" t="inlineStr">
        <is>
          <t>11/12</t>
        </is>
      </c>
      <c r="F41" s="28" t="n">
        <v>34.8</v>
      </c>
      <c r="G41" s="29" t="n">
        <v>13.65</v>
      </c>
      <c r="H41" s="28" t="n">
        <v>9.27</v>
      </c>
      <c r="I41" s="37" t="inlineStr">
        <is>
          <t>Trapezoid</t>
        </is>
      </c>
      <c r="J41" s="30" t="inlineStr">
        <is>
          <t>Y</t>
        </is>
      </c>
      <c r="K41" s="38">
        <f>G41*12</f>
        <v/>
      </c>
      <c r="L41" s="39">
        <f>CEILING(K41,1)</f>
        <v/>
      </c>
      <c r="M41" s="38">
        <f>L41-K41</f>
        <v/>
      </c>
      <c r="N41" s="39">
        <f>IF(J41="Y",EAVE_PROJECTION_IN,0)</f>
        <v/>
      </c>
      <c r="O41" s="39">
        <f>VERIFY_ALLOWANCE_IN</f>
        <v/>
      </c>
      <c r="P41" s="39">
        <f>MAX(MIN_CUT_IN,L41+N41+O41)</f>
        <v/>
      </c>
      <c r="Q41" s="38">
        <f>P41/12</f>
        <v/>
      </c>
      <c r="R41" s="37">
        <f>INT(P41/12)&amp;"'-"&amp;IF(MOD(P41,12)&lt;10,"0","")&amp;MOD(P41,12)&amp;""""</f>
        <v/>
      </c>
      <c r="S41" s="40">
        <f>IF(I41="Rectangle",12*F41/G41,IF(I41="Triangle",24*F41/G41,IF(24*F41/(G41+H41)&gt;45,NET_COVERAGE_IN,24*F41/(G41+H41))))</f>
        <v/>
      </c>
      <c r="T41" s="35">
        <f>IF(S41&lt;RIP_THRESHOLD_IN,"RIP","FULL")</f>
        <v/>
      </c>
      <c r="U41" s="35" t="inlineStr">
        <is>
          <t>B16</t>
        </is>
      </c>
      <c r="V41" s="36" t="inlineStr">
        <is>
          <t>eaves, hips, stepflashing</t>
        </is>
      </c>
      <c r="W41" s="35">
        <f>IF(AND(P41&gt;=MIN_CUT_IN,S41&gt;0,P41&gt;=L41),"PASS","CHECK")</f>
        <v/>
      </c>
    </row>
    <row r="42">
      <c r="A42" s="24" t="inlineStr">
        <is>
          <t>I08</t>
        </is>
      </c>
      <c r="B42" s="27" t="inlineStr">
        <is>
          <t>I</t>
        </is>
      </c>
      <c r="C42" s="27" t="n">
        <v>8</v>
      </c>
      <c r="D42" s="19" t="inlineStr">
        <is>
          <t>ro7izs</t>
        </is>
      </c>
      <c r="E42" s="27" t="inlineStr">
        <is>
          <t>11/12</t>
        </is>
      </c>
      <c r="F42" s="28" t="n">
        <v>24.86</v>
      </c>
      <c r="G42" s="29" t="n">
        <v>9.263999999999999</v>
      </c>
      <c r="H42" s="28" t="n">
        <v>8.039999999999999</v>
      </c>
      <c r="I42" s="16" t="inlineStr">
        <is>
          <t>Trapezoid</t>
        </is>
      </c>
      <c r="J42" s="30" t="inlineStr">
        <is>
          <t>Y</t>
        </is>
      </c>
      <c r="K42" s="31">
        <f>G42*12</f>
        <v/>
      </c>
      <c r="L42" s="32">
        <f>CEILING(K42,1)</f>
        <v/>
      </c>
      <c r="M42" s="31">
        <f>L42-K42</f>
        <v/>
      </c>
      <c r="N42" s="32">
        <f>IF(J42="Y",EAVE_PROJECTION_IN,0)</f>
        <v/>
      </c>
      <c r="O42" s="32">
        <f>VERIFY_ALLOWANCE_IN</f>
        <v/>
      </c>
      <c r="P42" s="32">
        <f>MAX(MIN_CUT_IN,L42+N42+O42)</f>
        <v/>
      </c>
      <c r="Q42" s="31">
        <f>P42/12</f>
        <v/>
      </c>
      <c r="R42" s="16">
        <f>INT(P42/12)&amp;"'-"&amp;IF(MOD(P42,12)&lt;10,"0","")&amp;MOD(P42,12)&amp;""""</f>
        <v/>
      </c>
      <c r="S42" s="33">
        <f>IF(I42="Rectangle",12*F42/G42,IF(I42="Triangle",24*F42/G42,IF(24*F42/(G42+H42)&gt;45,NET_COVERAGE_IN,24*F42/(G42+H42))))</f>
        <v/>
      </c>
      <c r="T42" s="27">
        <f>IF(S42&lt;RIP_THRESHOLD_IN,"RIP","FULL")</f>
        <v/>
      </c>
      <c r="U42" s="27" t="inlineStr">
        <is>
          <t>B32</t>
        </is>
      </c>
      <c r="V42" s="19" t="inlineStr">
        <is>
          <t>eaves, hips, ridges, stepflashing</t>
        </is>
      </c>
      <c r="W42" s="27">
        <f>IF(AND(P42&gt;=MIN_CUT_IN,S42&gt;0,P42&gt;=L42),"PASS","CHECK")</f>
        <v/>
      </c>
    </row>
    <row r="43">
      <c r="A43" s="34" t="inlineStr">
        <is>
          <t>I09</t>
        </is>
      </c>
      <c r="B43" s="35" t="inlineStr">
        <is>
          <t>I</t>
        </is>
      </c>
      <c r="C43" s="35" t="n">
        <v>9</v>
      </c>
      <c r="D43" s="36" t="inlineStr">
        <is>
          <t>vlxbr8</t>
        </is>
      </c>
      <c r="E43" s="35" t="inlineStr">
        <is>
          <t>11/12</t>
        </is>
      </c>
      <c r="F43" s="28" t="n">
        <v>24.42</v>
      </c>
      <c r="G43" s="29" t="n">
        <v>8.041</v>
      </c>
      <c r="H43" s="28" t="n">
        <v>8.039999999999999</v>
      </c>
      <c r="I43" s="37" t="inlineStr">
        <is>
          <t>Rectangle</t>
        </is>
      </c>
      <c r="J43" s="30" t="inlineStr">
        <is>
          <t>Y</t>
        </is>
      </c>
      <c r="K43" s="38">
        <f>G43*12</f>
        <v/>
      </c>
      <c r="L43" s="39">
        <f>CEILING(K43,1)</f>
        <v/>
      </c>
      <c r="M43" s="38">
        <f>L43-K43</f>
        <v/>
      </c>
      <c r="N43" s="39">
        <f>IF(J43="Y",EAVE_PROJECTION_IN,0)</f>
        <v/>
      </c>
      <c r="O43" s="39">
        <f>VERIFY_ALLOWANCE_IN</f>
        <v/>
      </c>
      <c r="P43" s="39">
        <f>MAX(MIN_CUT_IN,L43+N43+O43)</f>
        <v/>
      </c>
      <c r="Q43" s="38">
        <f>P43/12</f>
        <v/>
      </c>
      <c r="R43" s="37">
        <f>INT(P43/12)&amp;"'-"&amp;IF(MOD(P43,12)&lt;10,"0","")&amp;MOD(P43,12)&amp;""""</f>
        <v/>
      </c>
      <c r="S43" s="40">
        <f>IF(I43="Rectangle",12*F43/G43,IF(I43="Triangle",24*F43/G43,IF(24*F43/(G43+H43)&gt;45,NET_COVERAGE_IN,24*F43/(G43+H43))))</f>
        <v/>
      </c>
      <c r="T43" s="35">
        <f>IF(S43&lt;RIP_THRESHOLD_IN,"RIP","FULL")</f>
        <v/>
      </c>
      <c r="U43" s="35" t="inlineStr">
        <is>
          <t>B38</t>
        </is>
      </c>
      <c r="V43" s="36" t="inlineStr">
        <is>
          <t>eaves, ridges, stepflashing</t>
        </is>
      </c>
      <c r="W43" s="35">
        <f>IF(AND(P43&gt;=MIN_CUT_IN,S43&gt;0,P43&gt;=L43),"PASS","CHECK")</f>
        <v/>
      </c>
    </row>
    <row r="44">
      <c r="A44" s="24" t="inlineStr">
        <is>
          <t>I10</t>
        </is>
      </c>
      <c r="B44" s="27" t="inlineStr">
        <is>
          <t>I</t>
        </is>
      </c>
      <c r="C44" s="27" t="n">
        <v>10</v>
      </c>
      <c r="D44" s="19" t="inlineStr">
        <is>
          <t>r4lw7</t>
        </is>
      </c>
      <c r="E44" s="27" t="inlineStr">
        <is>
          <t>11/12</t>
        </is>
      </c>
      <c r="F44" s="28" t="n">
        <v>24</v>
      </c>
      <c r="G44" s="29" t="n">
        <v>8.041</v>
      </c>
      <c r="H44" s="28" t="n">
        <v>8.039999999999999</v>
      </c>
      <c r="I44" s="16" t="inlineStr">
        <is>
          <t>Rectangle</t>
        </is>
      </c>
      <c r="J44" s="30" t="inlineStr">
        <is>
          <t>Y</t>
        </is>
      </c>
      <c r="K44" s="31">
        <f>G44*12</f>
        <v/>
      </c>
      <c r="L44" s="32">
        <f>CEILING(K44,1)</f>
        <v/>
      </c>
      <c r="M44" s="31">
        <f>L44-K44</f>
        <v/>
      </c>
      <c r="N44" s="32">
        <f>IF(J44="Y",EAVE_PROJECTION_IN,0)</f>
        <v/>
      </c>
      <c r="O44" s="32">
        <f>VERIFY_ALLOWANCE_IN</f>
        <v/>
      </c>
      <c r="P44" s="32">
        <f>MAX(MIN_CUT_IN,L44+N44+O44)</f>
        <v/>
      </c>
      <c r="Q44" s="31">
        <f>P44/12</f>
        <v/>
      </c>
      <c r="R44" s="16">
        <f>INT(P44/12)&amp;"'-"&amp;IF(MOD(P44,12)&lt;10,"0","")&amp;MOD(P44,12)&amp;""""</f>
        <v/>
      </c>
      <c r="S44" s="33">
        <f>IF(I44="Rectangle",12*F44/G44,IF(I44="Triangle",24*F44/G44,IF(24*F44/(G44+H44)&gt;45,NET_COVERAGE_IN,24*F44/(G44+H44))))</f>
        <v/>
      </c>
      <c r="T44" s="27">
        <f>IF(S44&lt;RIP_THRESHOLD_IN,"RIP","FULL")</f>
        <v/>
      </c>
      <c r="U44" s="27" t="inlineStr">
        <is>
          <t>B39</t>
        </is>
      </c>
      <c r="V44" s="19" t="inlineStr">
        <is>
          <t>eaves, ridges, stepflashing</t>
        </is>
      </c>
      <c r="W44" s="27">
        <f>IF(AND(P44&gt;=MIN_CUT_IN,S44&gt;0,P44&gt;=L44),"PASS","CHECK")</f>
        <v/>
      </c>
    </row>
    <row r="45">
      <c r="A45" s="44" t="inlineStr">
        <is>
          <t>I11</t>
        </is>
      </c>
      <c r="B45" s="35" t="inlineStr">
        <is>
          <t>I</t>
        </is>
      </c>
      <c r="C45" s="35" t="n">
        <v>11</v>
      </c>
      <c r="D45" s="36" t="inlineStr">
        <is>
          <t>ki6lun</t>
        </is>
      </c>
      <c r="E45" s="35" t="inlineStr">
        <is>
          <t>11/12</t>
        </is>
      </c>
      <c r="F45" s="28" t="n">
        <v>3.99</v>
      </c>
      <c r="G45" s="29" t="n">
        <v>8.039999999999999</v>
      </c>
      <c r="H45" s="28" t="n">
        <v>8.039999999999999</v>
      </c>
      <c r="I45" s="37" t="inlineStr">
        <is>
          <t>Rectangle</t>
        </is>
      </c>
      <c r="J45" s="30" t="inlineStr">
        <is>
          <t>Y</t>
        </is>
      </c>
      <c r="K45" s="38">
        <f>G45*12</f>
        <v/>
      </c>
      <c r="L45" s="39">
        <f>CEILING(K45,1)</f>
        <v/>
      </c>
      <c r="M45" s="38">
        <f>L45-K45</f>
        <v/>
      </c>
      <c r="N45" s="39">
        <f>IF(J45="Y",EAVE_PROJECTION_IN,0)</f>
        <v/>
      </c>
      <c r="O45" s="39">
        <f>VERIFY_ALLOWANCE_IN</f>
        <v/>
      </c>
      <c r="P45" s="39">
        <f>MAX(MIN_CUT_IN,L45+N45+O45)</f>
        <v/>
      </c>
      <c r="Q45" s="38">
        <f>P45/12</f>
        <v/>
      </c>
      <c r="R45" s="37">
        <f>INT(P45/12)&amp;"'-"&amp;IF(MOD(P45,12)&lt;10,"0","")&amp;MOD(P45,12)&amp;""""</f>
        <v/>
      </c>
      <c r="S45" s="45">
        <f>IF(I45="Rectangle",12*F45/G45,IF(I45="Triangle",24*F45/G45,IF(24*F45/(G45+H45)&gt;45,NET_COVERAGE_IN,24*F45/(G45+H45))))</f>
        <v/>
      </c>
      <c r="T45" s="46">
        <f>IF(S45&lt;RIP_THRESHOLD_IN,"RIP","FULL")</f>
        <v/>
      </c>
      <c r="U45" s="46" t="inlineStr">
        <is>
          <t>B40</t>
        </is>
      </c>
      <c r="V45" s="36" t="inlineStr">
        <is>
          <t>rakes, stepflashing, unspecified</t>
        </is>
      </c>
      <c r="W45" s="35">
        <f>IF(AND(P45&gt;=MIN_CUT_IN,S45&gt;0,P45&gt;=L45),"PASS","CHECK")</f>
        <v/>
      </c>
    </row>
    <row r="46">
      <c r="A46" s="24" t="inlineStr">
        <is>
          <t>J01</t>
        </is>
      </c>
      <c r="B46" s="27" t="inlineStr">
        <is>
          <t>J</t>
        </is>
      </c>
      <c r="C46" s="27" t="n">
        <v>1</v>
      </c>
      <c r="D46" s="19" t="inlineStr">
        <is>
          <t>idgee9</t>
        </is>
      </c>
      <c r="E46" s="27" t="inlineStr">
        <is>
          <t>9/12</t>
        </is>
      </c>
      <c r="F46" s="28" t="n">
        <v>23.99</v>
      </c>
      <c r="G46" s="29" t="n">
        <v>9.682</v>
      </c>
      <c r="H46" s="28" t="n">
        <v>6.35</v>
      </c>
      <c r="I46" s="16" t="inlineStr">
        <is>
          <t>Trapezoid</t>
        </is>
      </c>
      <c r="J46" s="30" t="inlineStr">
        <is>
          <t>N</t>
        </is>
      </c>
      <c r="K46" s="31">
        <f>G46*12</f>
        <v/>
      </c>
      <c r="L46" s="32">
        <f>CEILING(K46,1)</f>
        <v/>
      </c>
      <c r="M46" s="31">
        <f>L46-K46</f>
        <v/>
      </c>
      <c r="N46" s="32">
        <f>IF(J46="Y",EAVE_PROJECTION_IN,0)</f>
        <v/>
      </c>
      <c r="O46" s="32">
        <f>VERIFY_ALLOWANCE_IN</f>
        <v/>
      </c>
      <c r="P46" s="32">
        <f>MAX(MIN_CUT_IN,L46+N46+O46)</f>
        <v/>
      </c>
      <c r="Q46" s="31">
        <f>P46/12</f>
        <v/>
      </c>
      <c r="R46" s="16">
        <f>INT(P46/12)&amp;"'-"&amp;IF(MOD(P46,12)&lt;10,"0","")&amp;MOD(P46,12)&amp;""""</f>
        <v/>
      </c>
      <c r="S46" s="33">
        <f>IF(I46="Rectangle",12*F46/G46,IF(I46="Triangle",24*F46/G46,IF(24*F46/(G46+H46)&gt;45,NET_COVERAGE_IN,24*F46/(G46+H46))))</f>
        <v/>
      </c>
      <c r="T46" s="27">
        <f>IF(S46&lt;RIP_THRESHOLD_IN,"RIP","FULL")</f>
        <v/>
      </c>
      <c r="U46" s="27" t="inlineStr">
        <is>
          <t>B33</t>
        </is>
      </c>
      <c r="V46" s="19" t="inlineStr">
        <is>
          <t>rakes, ridges, stepflashing, valleys</t>
        </is>
      </c>
      <c r="W46" s="27">
        <f>IF(AND(P46&gt;=MIN_CUT_IN,S46&gt;0,P46&gt;=L46),"PASS","CHECK")</f>
        <v/>
      </c>
    </row>
    <row r="47">
      <c r="A47" s="34" t="inlineStr">
        <is>
          <t>J02</t>
        </is>
      </c>
      <c r="B47" s="35" t="inlineStr">
        <is>
          <t>J</t>
        </is>
      </c>
      <c r="C47" s="35" t="n">
        <v>2</v>
      </c>
      <c r="D47" s="36" t="inlineStr">
        <is>
          <t>wny13u</t>
        </is>
      </c>
      <c r="E47" s="35" t="inlineStr">
        <is>
          <t>9/12</t>
        </is>
      </c>
      <c r="F47" s="28" t="n">
        <v>13.93</v>
      </c>
      <c r="G47" s="29" t="n">
        <v>6.347</v>
      </c>
      <c r="H47" s="28" t="n">
        <v>3.04</v>
      </c>
      <c r="I47" s="37" t="inlineStr">
        <is>
          <t>Trapezoid</t>
        </is>
      </c>
      <c r="J47" s="30" t="inlineStr">
        <is>
          <t>N</t>
        </is>
      </c>
      <c r="K47" s="38">
        <f>G47*12</f>
        <v/>
      </c>
      <c r="L47" s="39">
        <f>CEILING(K47,1)</f>
        <v/>
      </c>
      <c r="M47" s="38">
        <f>L47-K47</f>
        <v/>
      </c>
      <c r="N47" s="39">
        <f>IF(J47="Y",EAVE_PROJECTION_IN,0)</f>
        <v/>
      </c>
      <c r="O47" s="39">
        <f>VERIFY_ALLOWANCE_IN</f>
        <v/>
      </c>
      <c r="P47" s="39">
        <f>MAX(MIN_CUT_IN,L47+N47+O47)</f>
        <v/>
      </c>
      <c r="Q47" s="38">
        <f>P47/12</f>
        <v/>
      </c>
      <c r="R47" s="37">
        <f>INT(P47/12)&amp;"'-"&amp;IF(MOD(P47,12)&lt;10,"0","")&amp;MOD(P47,12)&amp;""""</f>
        <v/>
      </c>
      <c r="S47" s="40">
        <f>IF(I47="Rectangle",12*F47/G47,IF(I47="Triangle",24*F47/G47,IF(24*F47/(G47+H47)&gt;45,NET_COVERAGE_IN,24*F47/(G47+H47))))</f>
        <v/>
      </c>
      <c r="T47" s="35">
        <f>IF(S47&lt;RIP_THRESHOLD_IN,"RIP","FULL")</f>
        <v/>
      </c>
      <c r="U47" s="35" t="inlineStr">
        <is>
          <t>B41</t>
        </is>
      </c>
      <c r="V47" s="36" t="inlineStr">
        <is>
          <t>ridges, stepflashing, valleys</t>
        </is>
      </c>
      <c r="W47" s="35">
        <f>IF(AND(P47&gt;=MIN_CUT_IN,S47&gt;0,P47&gt;=L47),"PASS","CHECK")</f>
        <v/>
      </c>
    </row>
    <row r="48">
      <c r="A48" s="24" t="inlineStr">
        <is>
          <t>J03</t>
        </is>
      </c>
      <c r="B48" s="27" t="inlineStr">
        <is>
          <t>J</t>
        </is>
      </c>
      <c r="C48" s="27" t="n">
        <v>3</v>
      </c>
      <c r="D48" s="19" t="inlineStr">
        <is>
          <t>wmd8iu</t>
        </is>
      </c>
      <c r="E48" s="27" t="inlineStr">
        <is>
          <t>9/12</t>
        </is>
      </c>
      <c r="F48" s="28" t="n">
        <v>4.15</v>
      </c>
      <c r="G48" s="29" t="n">
        <v>3.04</v>
      </c>
      <c r="H48" s="28" t="n">
        <v>0</v>
      </c>
      <c r="I48" s="16" t="inlineStr">
        <is>
          <t>Triangle</t>
        </is>
      </c>
      <c r="J48" s="30" t="inlineStr">
        <is>
          <t>N</t>
        </is>
      </c>
      <c r="K48" s="31">
        <f>G48*12</f>
        <v/>
      </c>
      <c r="L48" s="32">
        <f>CEILING(K48,1)</f>
        <v/>
      </c>
      <c r="M48" s="31">
        <f>L48-K48</f>
        <v/>
      </c>
      <c r="N48" s="32">
        <f>IF(J48="Y",EAVE_PROJECTION_IN,0)</f>
        <v/>
      </c>
      <c r="O48" s="32">
        <f>VERIFY_ALLOWANCE_IN</f>
        <v/>
      </c>
      <c r="P48" s="32">
        <f>MAX(MIN_CUT_IN,L48+N48+O48)</f>
        <v/>
      </c>
      <c r="Q48" s="31">
        <f>P48/12</f>
        <v/>
      </c>
      <c r="R48" s="16">
        <f>INT(P48/12)&amp;"'-"&amp;IF(MOD(P48,12)&lt;10,"0","")&amp;MOD(P48,12)&amp;""""</f>
        <v/>
      </c>
      <c r="S48" s="33">
        <f>IF(I48="Rectangle",12*F48/G48,IF(I48="Triangle",24*F48/G48,IF(24*F48/(G48+H48)&gt;45,NET_COVERAGE_IN,24*F48/(G48+H48))))</f>
        <v/>
      </c>
      <c r="T48" s="27">
        <f>IF(S48&lt;RIP_THRESHOLD_IN,"RIP","FULL")</f>
        <v/>
      </c>
      <c r="U48" s="27" t="inlineStr">
        <is>
          <t>B45</t>
        </is>
      </c>
      <c r="V48" s="19" t="inlineStr">
        <is>
          <t>ridges, stepflashing, valleys</t>
        </is>
      </c>
      <c r="W48" s="27">
        <f>IF(AND(P48&gt;=MIN_CUT_IN,S48&gt;0,P48&gt;=L48),"PASS","CHECK")</f>
        <v/>
      </c>
    </row>
    <row r="49">
      <c r="A49" s="34" t="inlineStr">
        <is>
          <t>J04</t>
        </is>
      </c>
      <c r="B49" s="35" t="inlineStr">
        <is>
          <t>J</t>
        </is>
      </c>
      <c r="C49" s="35" t="n">
        <v>4</v>
      </c>
      <c r="D49" s="36" t="inlineStr">
        <is>
          <t>xknv6</t>
        </is>
      </c>
      <c r="E49" s="35" t="inlineStr">
        <is>
          <t>9/12</t>
        </is>
      </c>
      <c r="F49" s="28" t="n">
        <v>4.18</v>
      </c>
      <c r="G49" s="29" t="n">
        <v>3.05</v>
      </c>
      <c r="H49" s="28" t="n">
        <v>0</v>
      </c>
      <c r="I49" s="37" t="inlineStr">
        <is>
          <t>Triangle</t>
        </is>
      </c>
      <c r="J49" s="30" t="inlineStr">
        <is>
          <t>N</t>
        </is>
      </c>
      <c r="K49" s="38">
        <f>G49*12</f>
        <v/>
      </c>
      <c r="L49" s="39">
        <f>CEILING(K49,1)</f>
        <v/>
      </c>
      <c r="M49" s="38">
        <f>L49-K49</f>
        <v/>
      </c>
      <c r="N49" s="39">
        <f>IF(J49="Y",EAVE_PROJECTION_IN,0)</f>
        <v/>
      </c>
      <c r="O49" s="39">
        <f>VERIFY_ALLOWANCE_IN</f>
        <v/>
      </c>
      <c r="P49" s="39">
        <f>MAX(MIN_CUT_IN,L49+N49+O49)</f>
        <v/>
      </c>
      <c r="Q49" s="38">
        <f>P49/12</f>
        <v/>
      </c>
      <c r="R49" s="37">
        <f>INT(P49/12)&amp;"'-"&amp;IF(MOD(P49,12)&lt;10,"0","")&amp;MOD(P49,12)&amp;""""</f>
        <v/>
      </c>
      <c r="S49" s="40">
        <f>IF(I49="Rectangle",12*F49/G49,IF(I49="Triangle",24*F49/G49,IF(24*F49/(G49+H49)&gt;45,NET_COVERAGE_IN,24*F49/(G49+H49))))</f>
        <v/>
      </c>
      <c r="T49" s="35">
        <f>IF(S49&lt;RIP_THRESHOLD_IN,"RIP","FULL")</f>
        <v/>
      </c>
      <c r="U49" s="35" t="inlineStr">
        <is>
          <t>B46</t>
        </is>
      </c>
      <c r="V49" s="36" t="inlineStr">
        <is>
          <t>ridges, stepflashing, valleys</t>
        </is>
      </c>
      <c r="W49" s="35">
        <f>IF(AND(P49&gt;=MIN_CUT_IN,S49&gt;0,P49&gt;=L49),"PASS","CHECK")</f>
        <v/>
      </c>
    </row>
    <row r="50">
      <c r="A50" s="24" t="inlineStr">
        <is>
          <t>J05</t>
        </is>
      </c>
      <c r="B50" s="27" t="inlineStr">
        <is>
          <t>J</t>
        </is>
      </c>
      <c r="C50" s="27" t="n">
        <v>5</v>
      </c>
      <c r="D50" s="19" t="inlineStr">
        <is>
          <t>c8sbwg</t>
        </is>
      </c>
      <c r="E50" s="27" t="inlineStr">
        <is>
          <t>9/12</t>
        </is>
      </c>
      <c r="F50" s="28" t="n">
        <v>14.06</v>
      </c>
      <c r="G50" s="29" t="n">
        <v>6.373</v>
      </c>
      <c r="H50" s="28" t="n">
        <v>3.05</v>
      </c>
      <c r="I50" s="16" t="inlineStr">
        <is>
          <t>Trapezoid</t>
        </is>
      </c>
      <c r="J50" s="30" t="inlineStr">
        <is>
          <t>N</t>
        </is>
      </c>
      <c r="K50" s="31">
        <f>G50*12</f>
        <v/>
      </c>
      <c r="L50" s="32">
        <f>CEILING(K50,1)</f>
        <v/>
      </c>
      <c r="M50" s="31">
        <f>L50-K50</f>
        <v/>
      </c>
      <c r="N50" s="32">
        <f>IF(J50="Y",EAVE_PROJECTION_IN,0)</f>
        <v/>
      </c>
      <c r="O50" s="32">
        <f>VERIFY_ALLOWANCE_IN</f>
        <v/>
      </c>
      <c r="P50" s="32">
        <f>MAX(MIN_CUT_IN,L50+N50+O50)</f>
        <v/>
      </c>
      <c r="Q50" s="31">
        <f>P50/12</f>
        <v/>
      </c>
      <c r="R50" s="16">
        <f>INT(P50/12)&amp;"'-"&amp;IF(MOD(P50,12)&lt;10,"0","")&amp;MOD(P50,12)&amp;""""</f>
        <v/>
      </c>
      <c r="S50" s="33">
        <f>IF(I50="Rectangle",12*F50/G50,IF(I50="Triangle",24*F50/G50,IF(24*F50/(G50+H50)&gt;45,NET_COVERAGE_IN,24*F50/(G50+H50))))</f>
        <v/>
      </c>
      <c r="T50" s="27">
        <f>IF(S50&lt;RIP_THRESHOLD_IN,"RIP","FULL")</f>
        <v/>
      </c>
      <c r="U50" s="27" t="inlineStr">
        <is>
          <t>B42</t>
        </is>
      </c>
      <c r="V50" s="19" t="inlineStr">
        <is>
          <t>ridges, stepflashing, valleys</t>
        </is>
      </c>
      <c r="W50" s="27">
        <f>IF(AND(P50&gt;=MIN_CUT_IN,S50&gt;0,P50&gt;=L50),"PASS","CHECK")</f>
        <v/>
      </c>
    </row>
    <row r="51">
      <c r="A51" s="34" t="inlineStr">
        <is>
          <t>J06</t>
        </is>
      </c>
      <c r="B51" s="35" t="inlineStr">
        <is>
          <t>J</t>
        </is>
      </c>
      <c r="C51" s="35" t="n">
        <v>6</v>
      </c>
      <c r="D51" s="36" t="inlineStr">
        <is>
          <t>1p0e6o</t>
        </is>
      </c>
      <c r="E51" s="35" t="inlineStr">
        <is>
          <t>9/12</t>
        </is>
      </c>
      <c r="F51" s="28" t="n">
        <v>23.86</v>
      </c>
      <c r="G51" s="29" t="n">
        <v>9.682</v>
      </c>
      <c r="H51" s="28" t="n">
        <v>6.37</v>
      </c>
      <c r="I51" s="37" t="inlineStr">
        <is>
          <t>Trapezoid</t>
        </is>
      </c>
      <c r="J51" s="30" t="inlineStr">
        <is>
          <t>N</t>
        </is>
      </c>
      <c r="K51" s="38">
        <f>G51*12</f>
        <v/>
      </c>
      <c r="L51" s="39">
        <f>CEILING(K51,1)</f>
        <v/>
      </c>
      <c r="M51" s="38">
        <f>L51-K51</f>
        <v/>
      </c>
      <c r="N51" s="39">
        <f>IF(J51="Y",EAVE_PROJECTION_IN,0)</f>
        <v/>
      </c>
      <c r="O51" s="39">
        <f>VERIFY_ALLOWANCE_IN</f>
        <v/>
      </c>
      <c r="P51" s="39">
        <f>MAX(MIN_CUT_IN,L51+N51+O51)</f>
        <v/>
      </c>
      <c r="Q51" s="38">
        <f>P51/12</f>
        <v/>
      </c>
      <c r="R51" s="37">
        <f>INT(P51/12)&amp;"'-"&amp;IF(MOD(P51,12)&lt;10,"0","")&amp;MOD(P51,12)&amp;""""</f>
        <v/>
      </c>
      <c r="S51" s="40">
        <f>IF(I51="Rectangle",12*F51/G51,IF(I51="Triangle",24*F51/G51,IF(24*F51/(G51+H51)&gt;45,NET_COVERAGE_IN,24*F51/(G51+H51))))</f>
        <v/>
      </c>
      <c r="T51" s="35">
        <f>IF(S51&lt;RIP_THRESHOLD_IN,"RIP","FULL")</f>
        <v/>
      </c>
      <c r="U51" s="35" t="inlineStr">
        <is>
          <t>B34</t>
        </is>
      </c>
      <c r="V51" s="36" t="inlineStr">
        <is>
          <t>rakes, ridges, stepflashing, valleys</t>
        </is>
      </c>
      <c r="W51" s="35">
        <f>IF(AND(P51&gt;=MIN_CUT_IN,S51&gt;0,P51&gt;=L51),"PASS","CHECK")</f>
        <v/>
      </c>
    </row>
    <row r="52">
      <c r="A52" s="47" t="inlineStr">
        <is>
          <t>TOTAL</t>
        </is>
      </c>
      <c r="B52" s="47" t="n"/>
      <c r="C52" s="47" t="n"/>
      <c r="D52" s="47" t="n"/>
      <c r="E52" s="47" t="n"/>
      <c r="F52" s="48">
        <f>SUM(F6:F51)</f>
        <v/>
      </c>
      <c r="G52" s="47" t="n"/>
      <c r="H52" s="47" t="n"/>
      <c r="I52" s="47" t="n"/>
      <c r="J52" s="47" t="n"/>
      <c r="K52" s="49">
        <f>SUM(K6:K51)</f>
        <v/>
      </c>
      <c r="L52" s="50">
        <f>SUM(L6:L51)</f>
        <v/>
      </c>
      <c r="M52" s="48">
        <f>SUM(M6:M51)</f>
        <v/>
      </c>
      <c r="N52" s="50">
        <f>SUM(N6:N51)</f>
        <v/>
      </c>
      <c r="O52" s="47" t="n"/>
      <c r="P52" s="50">
        <f>SUM(P6:P51)</f>
        <v/>
      </c>
      <c r="Q52" s="48">
        <f>SUM(Q6:Q51)</f>
        <v/>
      </c>
      <c r="R52" s="47" t="n"/>
      <c r="S52" s="49">
        <f>SUM(S6:S51)</f>
        <v/>
      </c>
      <c r="T52" s="47" t="n"/>
      <c r="U52" s="47" t="n"/>
      <c r="V52" s="47" t="n"/>
      <c r="W52" s="47">
        <f>IF(COUNTIF(W6:W51,"PASS")=46,"ALL PASS","CHECK")</f>
        <v/>
      </c>
    </row>
    <row r="54">
      <c r="A54" s="10" t="inlineStr">
        <is>
          <t>SHADED COLUMNS ARE MEASURED SOURCE VALUES (Roofr report 10769087). EVERY OTHER COLUMN IS A FORMULA.</t>
        </is>
      </c>
    </row>
    <row r="55">
      <c r="A55" s="10" t="inlineStr">
        <is>
          <t>Facet width is derived from measured area and edge geometry; where the recorded 2nd edge is a drawn polygon artifact (&gt;45 in implied width) the width falls back to net coverage — see D09 and E01.</t>
        </is>
      </c>
    </row>
    <row r="56">
      <c r="A56" s="10" t="inlineStr">
        <is>
          <t>Blank ref maps each panel 1:1 to the blank it is cut from. The four RIP rows (bronze) are ripped lengthwise in the field from their own full blanks; the cut edge is buried under rake trim.</t>
        </is>
      </c>
    </row>
  </sheetData>
  <mergeCells count="2">
    <mergeCell ref="A3:W3"/>
    <mergeCell ref="A1:W2"/>
  </mergeCells>
  <printOptions horizontalCentered="1"/>
  <pageMargins left="0.35" right="0.35" top="0.45" bottom="0.45" header="0.5" footer="0.5"/>
  <pageSetup orientation="landscape" paperSize="1" fitToHeight="0" fitToWidth="1"/>
</worksheet>
</file>

<file path=xl/worksheets/sheet4.xml><?xml version="1.0" encoding="utf-8"?>
<worksheet xmlns="http://schemas.openxmlformats.org/spreadsheetml/2006/main">
  <sheetPr>
    <outlinePr summaryBelow="1" summaryRight="1"/>
    <pageSetUpPr fitToPage="1"/>
  </sheetPr>
  <dimension ref="A1:I52"/>
  <sheetViews>
    <sheetView workbookViewId="0">
      <pane ySplit="5" topLeftCell="A6" activePane="bottomLeft" state="frozen"/>
      <selection pane="bottomLeft" activeCell="A1" sqref="A1"/>
    </sheetView>
  </sheetViews>
  <sheetFormatPr baseColWidth="8" defaultRowHeight="15"/>
  <cols>
    <col width="8" customWidth="1" min="1" max="1"/>
    <col width="7" customWidth="1" min="2" max="2"/>
    <col width="7" customWidth="1" min="3" max="3"/>
    <col width="13" customWidth="1" min="4" max="4"/>
    <col width="12" customWidth="1" min="5" max="5"/>
    <col width="9" customWidth="1" min="6" max="6"/>
    <col width="14" customWidth="1" min="7" max="7"/>
    <col width="14" customWidth="1" min="8" max="8"/>
    <col width="78" customWidth="1" min="9" max="9"/>
  </cols>
  <sheetData>
    <row r="1" ht="24" customHeight="1">
      <c r="A1" s="1" t="inlineStr">
        <is>
          <t>COLLINS — BLANK LIST</t>
        </is>
      </c>
      <c r="B1" s="2" t="n"/>
      <c r="C1" s="2" t="n"/>
      <c r="D1" s="2" t="n"/>
      <c r="E1" s="2" t="n"/>
      <c r="F1" s="2" t="n"/>
      <c r="G1" s="2" t="n"/>
      <c r="H1" s="2" t="n"/>
      <c r="I1" s="2" t="n"/>
    </row>
    <row r="2" ht="16" customHeight="1">
      <c r="A2" s="2" t="n"/>
      <c r="B2" s="2" t="n"/>
      <c r="C2" s="2" t="n"/>
      <c r="D2" s="2" t="n"/>
      <c r="E2" s="2" t="n"/>
      <c r="F2" s="2" t="n"/>
      <c r="G2" s="2" t="n"/>
      <c r="H2" s="2" t="n"/>
      <c r="I2" s="2" t="n"/>
    </row>
    <row r="3" ht="15" customHeight="1">
      <c r="A3" s="3" t="inlineStr">
        <is>
          <t>What the supplier actually cuts: 46 blanks, one per installed panel, no spares. Four blanks are field-ripped lengthwise; offcuts are retained stock.</t>
        </is>
      </c>
    </row>
    <row r="5" ht="28" customHeight="1">
      <c r="A5" s="7" t="inlineStr">
        <is>
          <t>Blank</t>
        </is>
      </c>
      <c r="B5" s="7" t="inlineStr">
        <is>
          <t>Plane</t>
        </is>
      </c>
      <c r="C5" s="7" t="inlineStr">
        <is>
          <t>Kind</t>
        </is>
      </c>
      <c r="D5" s="7" t="inlineStr">
        <is>
          <t>Cut length in</t>
        </is>
      </c>
      <c r="E5" s="7" t="inlineStr">
        <is>
          <t>Order ft-in</t>
        </is>
      </c>
      <c r="F5" s="7" t="inlineStr">
        <is>
          <t>Order ft</t>
        </is>
      </c>
      <c r="G5" s="7" t="inlineStr">
        <is>
          <t>Yields panel 1</t>
        </is>
      </c>
      <c r="H5" s="7" t="inlineStr">
        <is>
          <t>Yields panel 2</t>
        </is>
      </c>
      <c r="I5" s="7" t="inlineStr">
        <is>
          <t>Fabrication / field note</t>
        </is>
      </c>
    </row>
    <row r="6">
      <c r="A6" s="24" t="inlineStr">
        <is>
          <t>B01</t>
        </is>
      </c>
      <c r="B6" s="27" t="inlineStr">
        <is>
          <t>D</t>
        </is>
      </c>
      <c r="C6" s="27" t="inlineStr">
        <is>
          <t>FULL</t>
        </is>
      </c>
      <c r="D6" s="32">
        <f>INDEX('Panel Cut List'!$P$6:$P$51,MATCH(G6,'Panel Cut List'!$A$6:$A$51,0))</f>
        <v/>
      </c>
      <c r="E6" s="16">
        <f>INT(D6/12)&amp;"'-"&amp;IF(MOD(D6,12)&lt;10,"0","")&amp;MOD(D6,12)&amp;""""</f>
        <v/>
      </c>
      <c r="F6" s="31">
        <f>D6/12</f>
        <v/>
      </c>
      <c r="G6" s="27" t="inlineStr">
        <is>
          <t>D03</t>
        </is>
      </c>
      <c r="H6" s="27" t="inlineStr"/>
      <c r="I6" s="16" t="inlineStr"/>
    </row>
    <row r="7">
      <c r="A7" s="34" t="inlineStr">
        <is>
          <t>B02</t>
        </is>
      </c>
      <c r="B7" s="35" t="inlineStr">
        <is>
          <t>D</t>
        </is>
      </c>
      <c r="C7" s="35" t="inlineStr">
        <is>
          <t>FULL</t>
        </is>
      </c>
      <c r="D7" s="39">
        <f>INDEX('Panel Cut List'!$P$6:$P$51,MATCH(G7,'Panel Cut List'!$A$6:$A$51,0))</f>
        <v/>
      </c>
      <c r="E7" s="37">
        <f>INT(D7/12)&amp;"'-"&amp;IF(MOD(D7,12)&lt;10,"0","")&amp;MOD(D7,12)&amp;""""</f>
        <v/>
      </c>
      <c r="F7" s="38">
        <f>D7/12</f>
        <v/>
      </c>
      <c r="G7" s="35" t="inlineStr">
        <is>
          <t>D04</t>
        </is>
      </c>
      <c r="H7" s="35" t="inlineStr"/>
      <c r="I7" s="37" t="inlineStr"/>
    </row>
    <row r="8">
      <c r="A8" s="24" t="inlineStr">
        <is>
          <t>B03</t>
        </is>
      </c>
      <c r="B8" s="27" t="inlineStr">
        <is>
          <t>D</t>
        </is>
      </c>
      <c r="C8" s="27" t="inlineStr">
        <is>
          <t>FULL</t>
        </is>
      </c>
      <c r="D8" s="32">
        <f>INDEX('Panel Cut List'!$P$6:$P$51,MATCH(G8,'Panel Cut List'!$A$6:$A$51,0))</f>
        <v/>
      </c>
      <c r="E8" s="16">
        <f>INT(D8/12)&amp;"'-"&amp;IF(MOD(D8,12)&lt;10,"0","")&amp;MOD(D8,12)&amp;""""</f>
        <v/>
      </c>
      <c r="F8" s="31">
        <f>D8/12</f>
        <v/>
      </c>
      <c r="G8" s="27" t="inlineStr">
        <is>
          <t>D05</t>
        </is>
      </c>
      <c r="H8" s="27" t="inlineStr"/>
      <c r="I8" s="16" t="inlineStr"/>
    </row>
    <row r="9">
      <c r="A9" s="34" t="inlineStr">
        <is>
          <t>B04</t>
        </is>
      </c>
      <c r="B9" s="35" t="inlineStr">
        <is>
          <t>D</t>
        </is>
      </c>
      <c r="C9" s="35" t="inlineStr">
        <is>
          <t>FULL</t>
        </is>
      </c>
      <c r="D9" s="39">
        <f>INDEX('Panel Cut List'!$P$6:$P$51,MATCH(G9,'Panel Cut List'!$A$6:$A$51,0))</f>
        <v/>
      </c>
      <c r="E9" s="37">
        <f>INT(D9/12)&amp;"'-"&amp;IF(MOD(D9,12)&lt;10,"0","")&amp;MOD(D9,12)&amp;""""</f>
        <v/>
      </c>
      <c r="F9" s="38">
        <f>D9/12</f>
        <v/>
      </c>
      <c r="G9" s="35" t="inlineStr">
        <is>
          <t>D06</t>
        </is>
      </c>
      <c r="H9" s="35" t="inlineStr"/>
      <c r="I9" s="37" t="inlineStr"/>
    </row>
    <row r="10">
      <c r="A10" s="24" t="inlineStr">
        <is>
          <t>B05</t>
        </is>
      </c>
      <c r="B10" s="27" t="inlineStr">
        <is>
          <t>D</t>
        </is>
      </c>
      <c r="C10" s="27" t="inlineStr">
        <is>
          <t>FULL</t>
        </is>
      </c>
      <c r="D10" s="32">
        <f>INDEX('Panel Cut List'!$P$6:$P$51,MATCH(G10,'Panel Cut List'!$A$6:$A$51,0))</f>
        <v/>
      </c>
      <c r="E10" s="16">
        <f>INT(D10/12)&amp;"'-"&amp;IF(MOD(D10,12)&lt;10,"0","")&amp;MOD(D10,12)&amp;""""</f>
        <v/>
      </c>
      <c r="F10" s="31">
        <f>D10/12</f>
        <v/>
      </c>
      <c r="G10" s="27" t="inlineStr">
        <is>
          <t>D07</t>
        </is>
      </c>
      <c r="H10" s="27" t="inlineStr"/>
      <c r="I10" s="16" t="inlineStr"/>
    </row>
    <row r="11">
      <c r="A11" s="34" t="inlineStr">
        <is>
          <t>B06</t>
        </is>
      </c>
      <c r="B11" s="35" t="inlineStr">
        <is>
          <t>D</t>
        </is>
      </c>
      <c r="C11" s="35" t="inlineStr">
        <is>
          <t>FULL</t>
        </is>
      </c>
      <c r="D11" s="39">
        <f>INDEX('Panel Cut List'!$P$6:$P$51,MATCH(G11,'Panel Cut List'!$A$6:$A$51,0))</f>
        <v/>
      </c>
      <c r="E11" s="37">
        <f>INT(D11/12)&amp;"'-"&amp;IF(MOD(D11,12)&lt;10,"0","")&amp;MOD(D11,12)&amp;""""</f>
        <v/>
      </c>
      <c r="F11" s="38">
        <f>D11/12</f>
        <v/>
      </c>
      <c r="G11" s="35" t="inlineStr">
        <is>
          <t>D08</t>
        </is>
      </c>
      <c r="H11" s="35" t="inlineStr"/>
      <c r="I11" s="37" t="inlineStr"/>
    </row>
    <row r="12">
      <c r="A12" s="24" t="inlineStr">
        <is>
          <t>B07</t>
        </is>
      </c>
      <c r="B12" s="27" t="inlineStr">
        <is>
          <t>D</t>
        </is>
      </c>
      <c r="C12" s="27" t="inlineStr">
        <is>
          <t>FULL</t>
        </is>
      </c>
      <c r="D12" s="32">
        <f>INDEX('Panel Cut List'!$P$6:$P$51,MATCH(G12,'Panel Cut List'!$A$6:$A$51,0))</f>
        <v/>
      </c>
      <c r="E12" s="16">
        <f>INT(D12/12)&amp;"'-"&amp;IF(MOD(D12,12)&lt;10,"0","")&amp;MOD(D12,12)&amp;""""</f>
        <v/>
      </c>
      <c r="F12" s="31">
        <f>D12/12</f>
        <v/>
      </c>
      <c r="G12" s="27" t="inlineStr">
        <is>
          <t>D09</t>
        </is>
      </c>
      <c r="H12" s="27" t="inlineStr"/>
      <c r="I12" s="16" t="inlineStr"/>
    </row>
    <row r="13">
      <c r="A13" s="34" t="inlineStr">
        <is>
          <t>B08</t>
        </is>
      </c>
      <c r="B13" s="35" t="inlineStr">
        <is>
          <t>E</t>
        </is>
      </c>
      <c r="C13" s="35" t="inlineStr">
        <is>
          <t>FULL</t>
        </is>
      </c>
      <c r="D13" s="39">
        <f>INDEX('Panel Cut List'!$P$6:$P$51,MATCH(G13,'Panel Cut List'!$A$6:$A$51,0))</f>
        <v/>
      </c>
      <c r="E13" s="37">
        <f>INT(D13/12)&amp;"'-"&amp;IF(MOD(D13,12)&lt;10,"0","")&amp;MOD(D13,12)&amp;""""</f>
        <v/>
      </c>
      <c r="F13" s="38">
        <f>D13/12</f>
        <v/>
      </c>
      <c r="G13" s="35" t="inlineStr">
        <is>
          <t>E02</t>
        </is>
      </c>
      <c r="H13" s="35" t="inlineStr"/>
      <c r="I13" s="37" t="inlineStr"/>
    </row>
    <row r="14">
      <c r="A14" s="24" t="inlineStr">
        <is>
          <t>B09</t>
        </is>
      </c>
      <c r="B14" s="27" t="inlineStr">
        <is>
          <t>E</t>
        </is>
      </c>
      <c r="C14" s="27" t="inlineStr">
        <is>
          <t>FULL</t>
        </is>
      </c>
      <c r="D14" s="32">
        <f>INDEX('Panel Cut List'!$P$6:$P$51,MATCH(G14,'Panel Cut List'!$A$6:$A$51,0))</f>
        <v/>
      </c>
      <c r="E14" s="16">
        <f>INT(D14/12)&amp;"'-"&amp;IF(MOD(D14,12)&lt;10,"0","")&amp;MOD(D14,12)&amp;""""</f>
        <v/>
      </c>
      <c r="F14" s="31">
        <f>D14/12</f>
        <v/>
      </c>
      <c r="G14" s="27" t="inlineStr">
        <is>
          <t>E03</t>
        </is>
      </c>
      <c r="H14" s="27" t="inlineStr"/>
      <c r="I14" s="16" t="inlineStr"/>
    </row>
    <row r="15">
      <c r="A15" s="34" t="inlineStr">
        <is>
          <t>B10</t>
        </is>
      </c>
      <c r="B15" s="35" t="inlineStr">
        <is>
          <t>E</t>
        </is>
      </c>
      <c r="C15" s="35" t="inlineStr">
        <is>
          <t>FULL</t>
        </is>
      </c>
      <c r="D15" s="39">
        <f>INDEX('Panel Cut List'!$P$6:$P$51,MATCH(G15,'Panel Cut List'!$A$6:$A$51,0))</f>
        <v/>
      </c>
      <c r="E15" s="37">
        <f>INT(D15/12)&amp;"'-"&amp;IF(MOD(D15,12)&lt;10,"0","")&amp;MOD(D15,12)&amp;""""</f>
        <v/>
      </c>
      <c r="F15" s="38">
        <f>D15/12</f>
        <v/>
      </c>
      <c r="G15" s="35" t="inlineStr">
        <is>
          <t>E04</t>
        </is>
      </c>
      <c r="H15" s="35" t="inlineStr"/>
      <c r="I15" s="37" t="inlineStr"/>
    </row>
    <row r="16">
      <c r="A16" s="24" t="inlineStr">
        <is>
          <t>B11</t>
        </is>
      </c>
      <c r="B16" s="27" t="inlineStr">
        <is>
          <t>E</t>
        </is>
      </c>
      <c r="C16" s="27" t="inlineStr">
        <is>
          <t>FULL</t>
        </is>
      </c>
      <c r="D16" s="32">
        <f>INDEX('Panel Cut List'!$P$6:$P$51,MATCH(G16,'Panel Cut List'!$A$6:$A$51,0))</f>
        <v/>
      </c>
      <c r="E16" s="16">
        <f>INT(D16/12)&amp;"'-"&amp;IF(MOD(D16,12)&lt;10,"0","")&amp;MOD(D16,12)&amp;""""</f>
        <v/>
      </c>
      <c r="F16" s="31">
        <f>D16/12</f>
        <v/>
      </c>
      <c r="G16" s="27" t="inlineStr">
        <is>
          <t>E05</t>
        </is>
      </c>
      <c r="H16" s="27" t="inlineStr"/>
      <c r="I16" s="16" t="inlineStr"/>
    </row>
    <row r="17">
      <c r="A17" s="34" t="inlineStr">
        <is>
          <t>B12</t>
        </is>
      </c>
      <c r="B17" s="35" t="inlineStr">
        <is>
          <t>E</t>
        </is>
      </c>
      <c r="C17" s="35" t="inlineStr">
        <is>
          <t>FULL</t>
        </is>
      </c>
      <c r="D17" s="39">
        <f>INDEX('Panel Cut List'!$P$6:$P$51,MATCH(G17,'Panel Cut List'!$A$6:$A$51,0))</f>
        <v/>
      </c>
      <c r="E17" s="37">
        <f>INT(D17/12)&amp;"'-"&amp;IF(MOD(D17,12)&lt;10,"0","")&amp;MOD(D17,12)&amp;""""</f>
        <v/>
      </c>
      <c r="F17" s="38">
        <f>D17/12</f>
        <v/>
      </c>
      <c r="G17" s="35" t="inlineStr">
        <is>
          <t>E06</t>
        </is>
      </c>
      <c r="H17" s="35" t="inlineStr"/>
      <c r="I17" s="37" t="inlineStr"/>
    </row>
    <row r="18">
      <c r="A18" s="24" t="inlineStr">
        <is>
          <t>B13</t>
        </is>
      </c>
      <c r="B18" s="27" t="inlineStr">
        <is>
          <t>E</t>
        </is>
      </c>
      <c r="C18" s="27" t="inlineStr">
        <is>
          <t>FULL</t>
        </is>
      </c>
      <c r="D18" s="32">
        <f>INDEX('Panel Cut List'!$P$6:$P$51,MATCH(G18,'Panel Cut List'!$A$6:$A$51,0))</f>
        <v/>
      </c>
      <c r="E18" s="16">
        <f>INT(D18/12)&amp;"'-"&amp;IF(MOD(D18,12)&lt;10,"0","")&amp;MOD(D18,12)&amp;""""</f>
        <v/>
      </c>
      <c r="F18" s="31">
        <f>D18/12</f>
        <v/>
      </c>
      <c r="G18" s="27" t="inlineStr">
        <is>
          <t>E07</t>
        </is>
      </c>
      <c r="H18" s="27" t="inlineStr"/>
      <c r="I18" s="16" t="inlineStr"/>
    </row>
    <row r="19">
      <c r="A19" s="34" t="inlineStr">
        <is>
          <t>B14</t>
        </is>
      </c>
      <c r="B19" s="35" t="inlineStr">
        <is>
          <t>E</t>
        </is>
      </c>
      <c r="C19" s="35" t="inlineStr">
        <is>
          <t>FULL</t>
        </is>
      </c>
      <c r="D19" s="39">
        <f>INDEX('Panel Cut List'!$P$6:$P$51,MATCH(G19,'Panel Cut List'!$A$6:$A$51,0))</f>
        <v/>
      </c>
      <c r="E19" s="37">
        <f>INT(D19/12)&amp;"'-"&amp;IF(MOD(D19,12)&lt;10,"0","")&amp;MOD(D19,12)&amp;""""</f>
        <v/>
      </c>
      <c r="F19" s="38">
        <f>D19/12</f>
        <v/>
      </c>
      <c r="G19" s="35" t="inlineStr">
        <is>
          <t>E01</t>
        </is>
      </c>
      <c r="H19" s="35" t="inlineStr"/>
      <c r="I19" s="37" t="inlineStr"/>
    </row>
    <row r="20">
      <c r="A20" s="24" t="inlineStr">
        <is>
          <t>B15</t>
        </is>
      </c>
      <c r="B20" s="27" t="inlineStr">
        <is>
          <t>I</t>
        </is>
      </c>
      <c r="C20" s="27" t="inlineStr">
        <is>
          <t>FULL</t>
        </is>
      </c>
      <c r="D20" s="32">
        <f>INDEX('Panel Cut List'!$P$6:$P$51,MATCH(G20,'Panel Cut List'!$A$6:$A$51,0))</f>
        <v/>
      </c>
      <c r="E20" s="16">
        <f>INT(D20/12)&amp;"'-"&amp;IF(MOD(D20,12)&lt;10,"0","")&amp;MOD(D20,12)&amp;""""</f>
        <v/>
      </c>
      <c r="F20" s="31">
        <f>D20/12</f>
        <v/>
      </c>
      <c r="G20" s="27" t="inlineStr">
        <is>
          <t>I06</t>
        </is>
      </c>
      <c r="H20" s="27" t="inlineStr"/>
      <c r="I20" s="16" t="inlineStr"/>
    </row>
    <row r="21">
      <c r="A21" s="34" t="inlineStr">
        <is>
          <t>B16</t>
        </is>
      </c>
      <c r="B21" s="35" t="inlineStr">
        <is>
          <t>I</t>
        </is>
      </c>
      <c r="C21" s="35" t="inlineStr">
        <is>
          <t>FULL</t>
        </is>
      </c>
      <c r="D21" s="39">
        <f>INDEX('Panel Cut List'!$P$6:$P$51,MATCH(G21,'Panel Cut List'!$A$6:$A$51,0))</f>
        <v/>
      </c>
      <c r="E21" s="37">
        <f>INT(D21/12)&amp;"'-"&amp;IF(MOD(D21,12)&lt;10,"0","")&amp;MOD(D21,12)&amp;""""</f>
        <v/>
      </c>
      <c r="F21" s="38">
        <f>D21/12</f>
        <v/>
      </c>
      <c r="G21" s="35" t="inlineStr">
        <is>
          <t>I07</t>
        </is>
      </c>
      <c r="H21" s="35" t="inlineStr"/>
      <c r="I21" s="37" t="inlineStr"/>
    </row>
    <row r="22">
      <c r="A22" s="24" t="inlineStr">
        <is>
          <t>B17</t>
        </is>
      </c>
      <c r="B22" s="27" t="inlineStr">
        <is>
          <t>I</t>
        </is>
      </c>
      <c r="C22" s="27" t="inlineStr">
        <is>
          <t>FULL</t>
        </is>
      </c>
      <c r="D22" s="32">
        <f>INDEX('Panel Cut List'!$P$6:$P$51,MATCH(G22,'Panel Cut List'!$A$6:$A$51,0))</f>
        <v/>
      </c>
      <c r="E22" s="16">
        <f>INT(D22/12)&amp;"'-"&amp;IF(MOD(D22,12)&lt;10,"0","")&amp;MOD(D22,12)&amp;""""</f>
        <v/>
      </c>
      <c r="F22" s="31">
        <f>D22/12</f>
        <v/>
      </c>
      <c r="G22" s="27" t="inlineStr">
        <is>
          <t>I05</t>
        </is>
      </c>
      <c r="H22" s="27" t="inlineStr"/>
      <c r="I22" s="16" t="inlineStr"/>
    </row>
    <row r="23">
      <c r="A23" s="34" t="inlineStr">
        <is>
          <t>B18</t>
        </is>
      </c>
      <c r="B23" s="35" t="inlineStr">
        <is>
          <t>D</t>
        </is>
      </c>
      <c r="C23" s="35" t="inlineStr">
        <is>
          <t>FULL</t>
        </is>
      </c>
      <c r="D23" s="39">
        <f>INDEX('Panel Cut List'!$P$6:$P$51,MATCH(G23,'Panel Cut List'!$A$6:$A$51,0))</f>
        <v/>
      </c>
      <c r="E23" s="37">
        <f>INT(D23/12)&amp;"'-"&amp;IF(MOD(D23,12)&lt;10,"0","")&amp;MOD(D23,12)&amp;""""</f>
        <v/>
      </c>
      <c r="F23" s="38">
        <f>D23/12</f>
        <v/>
      </c>
      <c r="G23" s="35" t="inlineStr">
        <is>
          <t>D01</t>
        </is>
      </c>
      <c r="H23" s="35" t="inlineStr"/>
      <c r="I23" s="37" t="inlineStr"/>
    </row>
    <row r="24">
      <c r="A24" s="24" t="inlineStr">
        <is>
          <t>B19</t>
        </is>
      </c>
      <c r="B24" s="27" t="inlineStr">
        <is>
          <t>E</t>
        </is>
      </c>
      <c r="C24" s="27" t="inlineStr">
        <is>
          <t>FULL</t>
        </is>
      </c>
      <c r="D24" s="32">
        <f>INDEX('Panel Cut List'!$P$6:$P$51,MATCH(G24,'Panel Cut List'!$A$6:$A$51,0))</f>
        <v/>
      </c>
      <c r="E24" s="16">
        <f>INT(D24/12)&amp;"'-"&amp;IF(MOD(D24,12)&lt;10,"0","")&amp;MOD(D24,12)&amp;""""</f>
        <v/>
      </c>
      <c r="F24" s="31">
        <f>D24/12</f>
        <v/>
      </c>
      <c r="G24" s="27" t="inlineStr">
        <is>
          <t>E08</t>
        </is>
      </c>
      <c r="H24" s="27" t="inlineStr"/>
      <c r="I24" s="16" t="inlineStr"/>
    </row>
    <row r="25">
      <c r="A25" s="51" t="inlineStr">
        <is>
          <t>B20</t>
        </is>
      </c>
      <c r="B25" s="52" t="inlineStr">
        <is>
          <t>H</t>
        </is>
      </c>
      <c r="C25" s="52" t="inlineStr">
        <is>
          <t>RIP</t>
        </is>
      </c>
      <c r="D25" s="53">
        <f>INDEX('Panel Cut List'!$P$6:$P$51,MATCH(G25,'Panel Cut List'!$A$6:$A$51,0))</f>
        <v/>
      </c>
      <c r="E25" s="54">
        <f>INT(D25/12)&amp;"'-"&amp;IF(MOD(D25,12)&lt;10,"0","")&amp;MOD(D25,12)&amp;""""</f>
        <v/>
      </c>
      <c r="F25" s="55">
        <f>D25/12</f>
        <v/>
      </c>
      <c r="G25" s="52" t="inlineStr">
        <is>
          <t>H01</t>
        </is>
      </c>
      <c r="H25" s="52" t="inlineStr"/>
      <c r="I25" s="54" t="inlineStr">
        <is>
          <t>FIELD RIP — rip lengthwise to 5.8 in; cut edge under the rake trim. Offcut (~30 in × 10'-05") is retained stock.</t>
        </is>
      </c>
    </row>
    <row r="26">
      <c r="A26" s="24" t="inlineStr">
        <is>
          <t>B21</t>
        </is>
      </c>
      <c r="B26" s="27" t="inlineStr">
        <is>
          <t>H</t>
        </is>
      </c>
      <c r="C26" s="27" t="inlineStr">
        <is>
          <t>FULL</t>
        </is>
      </c>
      <c r="D26" s="32">
        <f>INDEX('Panel Cut List'!$P$6:$P$51,MATCH(G26,'Panel Cut List'!$A$6:$A$51,0))</f>
        <v/>
      </c>
      <c r="E26" s="16">
        <f>INT(D26/12)&amp;"'-"&amp;IF(MOD(D26,12)&lt;10,"0","")&amp;MOD(D26,12)&amp;""""</f>
        <v/>
      </c>
      <c r="F26" s="31">
        <f>D26/12</f>
        <v/>
      </c>
      <c r="G26" s="27" t="inlineStr">
        <is>
          <t>H02</t>
        </is>
      </c>
      <c r="H26" s="27" t="inlineStr"/>
      <c r="I26" s="16" t="inlineStr"/>
    </row>
    <row r="27">
      <c r="A27" s="34" t="inlineStr">
        <is>
          <t>B22</t>
        </is>
      </c>
      <c r="B27" s="35" t="inlineStr">
        <is>
          <t>H</t>
        </is>
      </c>
      <c r="C27" s="35" t="inlineStr">
        <is>
          <t>FULL</t>
        </is>
      </c>
      <c r="D27" s="39">
        <f>INDEX('Panel Cut List'!$P$6:$P$51,MATCH(G27,'Panel Cut List'!$A$6:$A$51,0))</f>
        <v/>
      </c>
      <c r="E27" s="37">
        <f>INT(D27/12)&amp;"'-"&amp;IF(MOD(D27,12)&lt;10,"0","")&amp;MOD(D27,12)&amp;""""</f>
        <v/>
      </c>
      <c r="F27" s="38">
        <f>D27/12</f>
        <v/>
      </c>
      <c r="G27" s="35" t="inlineStr">
        <is>
          <t>H03</t>
        </is>
      </c>
      <c r="H27" s="35" t="inlineStr"/>
      <c r="I27" s="37" t="inlineStr"/>
    </row>
    <row r="28">
      <c r="A28" s="24" t="inlineStr">
        <is>
          <t>B23</t>
        </is>
      </c>
      <c r="B28" s="27" t="inlineStr">
        <is>
          <t>H</t>
        </is>
      </c>
      <c r="C28" s="27" t="inlineStr">
        <is>
          <t>FULL</t>
        </is>
      </c>
      <c r="D28" s="32">
        <f>INDEX('Panel Cut List'!$P$6:$P$51,MATCH(G28,'Panel Cut List'!$A$6:$A$51,0))</f>
        <v/>
      </c>
      <c r="E28" s="16">
        <f>INT(D28/12)&amp;"'-"&amp;IF(MOD(D28,12)&lt;10,"0","")&amp;MOD(D28,12)&amp;""""</f>
        <v/>
      </c>
      <c r="F28" s="31">
        <f>D28/12</f>
        <v/>
      </c>
      <c r="G28" s="27" t="inlineStr">
        <is>
          <t>H04</t>
        </is>
      </c>
      <c r="H28" s="27" t="inlineStr"/>
      <c r="I28" s="16" t="inlineStr"/>
    </row>
    <row r="29">
      <c r="A29" s="34" t="inlineStr">
        <is>
          <t>B24</t>
        </is>
      </c>
      <c r="B29" s="35" t="inlineStr">
        <is>
          <t>H</t>
        </is>
      </c>
      <c r="C29" s="35" t="inlineStr">
        <is>
          <t>FULL</t>
        </is>
      </c>
      <c r="D29" s="39">
        <f>INDEX('Panel Cut List'!$P$6:$P$51,MATCH(G29,'Panel Cut List'!$A$6:$A$51,0))</f>
        <v/>
      </c>
      <c r="E29" s="37">
        <f>INT(D29/12)&amp;"'-"&amp;IF(MOD(D29,12)&lt;10,"0","")&amp;MOD(D29,12)&amp;""""</f>
        <v/>
      </c>
      <c r="F29" s="38">
        <f>D29/12</f>
        <v/>
      </c>
      <c r="G29" s="35" t="inlineStr">
        <is>
          <t>H05</t>
        </is>
      </c>
      <c r="H29" s="35" t="inlineStr"/>
      <c r="I29" s="37" t="inlineStr"/>
    </row>
    <row r="30">
      <c r="A30" s="24" t="inlineStr">
        <is>
          <t>B25</t>
        </is>
      </c>
      <c r="B30" s="27" t="inlineStr">
        <is>
          <t>H</t>
        </is>
      </c>
      <c r="C30" s="27" t="inlineStr">
        <is>
          <t>FULL</t>
        </is>
      </c>
      <c r="D30" s="32">
        <f>INDEX('Panel Cut List'!$P$6:$P$51,MATCH(G30,'Panel Cut List'!$A$6:$A$51,0))</f>
        <v/>
      </c>
      <c r="E30" s="16">
        <f>INT(D30/12)&amp;"'-"&amp;IF(MOD(D30,12)&lt;10,"0","")&amp;MOD(D30,12)&amp;""""</f>
        <v/>
      </c>
      <c r="F30" s="31">
        <f>D30/12</f>
        <v/>
      </c>
      <c r="G30" s="27" t="inlineStr">
        <is>
          <t>H06</t>
        </is>
      </c>
      <c r="H30" s="27" t="inlineStr"/>
      <c r="I30" s="16" t="inlineStr"/>
    </row>
    <row r="31">
      <c r="A31" s="34" t="inlineStr">
        <is>
          <t>B26</t>
        </is>
      </c>
      <c r="B31" s="35" t="inlineStr">
        <is>
          <t>H</t>
        </is>
      </c>
      <c r="C31" s="35" t="inlineStr">
        <is>
          <t>FULL</t>
        </is>
      </c>
      <c r="D31" s="39">
        <f>INDEX('Panel Cut List'!$P$6:$P$51,MATCH(G31,'Panel Cut List'!$A$6:$A$51,0))</f>
        <v/>
      </c>
      <c r="E31" s="37">
        <f>INT(D31/12)&amp;"'-"&amp;IF(MOD(D31,12)&lt;10,"0","")&amp;MOD(D31,12)&amp;""""</f>
        <v/>
      </c>
      <c r="F31" s="38">
        <f>D31/12</f>
        <v/>
      </c>
      <c r="G31" s="35" t="inlineStr">
        <is>
          <t>H07</t>
        </is>
      </c>
      <c r="H31" s="35" t="inlineStr"/>
      <c r="I31" s="37" t="inlineStr"/>
    </row>
    <row r="32">
      <c r="A32" s="24" t="inlineStr">
        <is>
          <t>B27</t>
        </is>
      </c>
      <c r="B32" s="27" t="inlineStr">
        <is>
          <t>H</t>
        </is>
      </c>
      <c r="C32" s="27" t="inlineStr">
        <is>
          <t>FULL</t>
        </is>
      </c>
      <c r="D32" s="32">
        <f>INDEX('Panel Cut List'!$P$6:$P$51,MATCH(G32,'Panel Cut List'!$A$6:$A$51,0))</f>
        <v/>
      </c>
      <c r="E32" s="16">
        <f>INT(D32/12)&amp;"'-"&amp;IF(MOD(D32,12)&lt;10,"0","")&amp;MOD(D32,12)&amp;""""</f>
        <v/>
      </c>
      <c r="F32" s="31">
        <f>D32/12</f>
        <v/>
      </c>
      <c r="G32" s="27" t="inlineStr">
        <is>
          <t>H08</t>
        </is>
      </c>
      <c r="H32" s="27" t="inlineStr"/>
      <c r="I32" s="16" t="inlineStr"/>
    </row>
    <row r="33">
      <c r="A33" s="34" t="inlineStr">
        <is>
          <t>B28</t>
        </is>
      </c>
      <c r="B33" s="35" t="inlineStr">
        <is>
          <t>H</t>
        </is>
      </c>
      <c r="C33" s="35" t="inlineStr">
        <is>
          <t>FULL</t>
        </is>
      </c>
      <c r="D33" s="39">
        <f>INDEX('Panel Cut List'!$P$6:$P$51,MATCH(G33,'Panel Cut List'!$A$6:$A$51,0))</f>
        <v/>
      </c>
      <c r="E33" s="37">
        <f>INT(D33/12)&amp;"'-"&amp;IF(MOD(D33,12)&lt;10,"0","")&amp;MOD(D33,12)&amp;""""</f>
        <v/>
      </c>
      <c r="F33" s="38">
        <f>D33/12</f>
        <v/>
      </c>
      <c r="G33" s="35" t="inlineStr">
        <is>
          <t>H09</t>
        </is>
      </c>
      <c r="H33" s="35" t="inlineStr"/>
      <c r="I33" s="37" t="inlineStr"/>
    </row>
    <row r="34">
      <c r="A34" s="24" t="inlineStr">
        <is>
          <t>B29</t>
        </is>
      </c>
      <c r="B34" s="27" t="inlineStr">
        <is>
          <t>H</t>
        </is>
      </c>
      <c r="C34" s="27" t="inlineStr">
        <is>
          <t>FULL</t>
        </is>
      </c>
      <c r="D34" s="32">
        <f>INDEX('Panel Cut List'!$P$6:$P$51,MATCH(G34,'Panel Cut List'!$A$6:$A$51,0))</f>
        <v/>
      </c>
      <c r="E34" s="16">
        <f>INT(D34/12)&amp;"'-"&amp;IF(MOD(D34,12)&lt;10,"0","")&amp;MOD(D34,12)&amp;""""</f>
        <v/>
      </c>
      <c r="F34" s="31">
        <f>D34/12</f>
        <v/>
      </c>
      <c r="G34" s="27" t="inlineStr">
        <is>
          <t>H10</t>
        </is>
      </c>
      <c r="H34" s="27" t="inlineStr"/>
      <c r="I34" s="16" t="inlineStr"/>
    </row>
    <row r="35">
      <c r="A35" s="51" t="inlineStr">
        <is>
          <t>B30</t>
        </is>
      </c>
      <c r="B35" s="52" t="inlineStr">
        <is>
          <t>H</t>
        </is>
      </c>
      <c r="C35" s="52" t="inlineStr">
        <is>
          <t>RIP</t>
        </is>
      </c>
      <c r="D35" s="53">
        <f>INDEX('Panel Cut List'!$P$6:$P$51,MATCH(G35,'Panel Cut List'!$A$6:$A$51,0))</f>
        <v/>
      </c>
      <c r="E35" s="54">
        <f>INT(D35/12)&amp;"'-"&amp;IF(MOD(D35,12)&lt;10,"0","")&amp;MOD(D35,12)&amp;""""</f>
        <v/>
      </c>
      <c r="F35" s="55">
        <f>D35/12</f>
        <v/>
      </c>
      <c r="G35" s="52" t="inlineStr">
        <is>
          <t>H11</t>
        </is>
      </c>
      <c r="H35" s="52" t="inlineStr"/>
      <c r="I35" s="54" t="inlineStr">
        <is>
          <t>FIELD RIP — rip lengthwise to 6.1 in; cut edge under the rake trim. Offcut (~30 in × 10'-05") is retained stock.</t>
        </is>
      </c>
    </row>
    <row r="36">
      <c r="A36" s="24" t="inlineStr">
        <is>
          <t>B31</t>
        </is>
      </c>
      <c r="B36" s="27" t="inlineStr">
        <is>
          <t>I</t>
        </is>
      </c>
      <c r="C36" s="27" t="inlineStr">
        <is>
          <t>FULL</t>
        </is>
      </c>
      <c r="D36" s="32">
        <f>INDEX('Panel Cut List'!$P$6:$P$51,MATCH(G36,'Panel Cut List'!$A$6:$A$51,0))</f>
        <v/>
      </c>
      <c r="E36" s="16">
        <f>INT(D36/12)&amp;"'-"&amp;IF(MOD(D36,12)&lt;10,"0","")&amp;MOD(D36,12)&amp;""""</f>
        <v/>
      </c>
      <c r="F36" s="31">
        <f>D36/12</f>
        <v/>
      </c>
      <c r="G36" s="27" t="inlineStr">
        <is>
          <t>I04</t>
        </is>
      </c>
      <c r="H36" s="27" t="inlineStr"/>
      <c r="I36" s="16" t="inlineStr"/>
    </row>
    <row r="37">
      <c r="A37" s="34" t="inlineStr">
        <is>
          <t>B32</t>
        </is>
      </c>
      <c r="B37" s="35" t="inlineStr">
        <is>
          <t>I</t>
        </is>
      </c>
      <c r="C37" s="35" t="inlineStr">
        <is>
          <t>FULL</t>
        </is>
      </c>
      <c r="D37" s="39">
        <f>INDEX('Panel Cut List'!$P$6:$P$51,MATCH(G37,'Panel Cut List'!$A$6:$A$51,0))</f>
        <v/>
      </c>
      <c r="E37" s="37">
        <f>INT(D37/12)&amp;"'-"&amp;IF(MOD(D37,12)&lt;10,"0","")&amp;MOD(D37,12)&amp;""""</f>
        <v/>
      </c>
      <c r="F37" s="38">
        <f>D37/12</f>
        <v/>
      </c>
      <c r="G37" s="35" t="inlineStr">
        <is>
          <t>I08</t>
        </is>
      </c>
      <c r="H37" s="35" t="inlineStr"/>
      <c r="I37" s="37" t="inlineStr"/>
    </row>
    <row r="38">
      <c r="A38" s="24" t="inlineStr">
        <is>
          <t>B33</t>
        </is>
      </c>
      <c r="B38" s="27" t="inlineStr">
        <is>
          <t>J</t>
        </is>
      </c>
      <c r="C38" s="27" t="inlineStr">
        <is>
          <t>FULL</t>
        </is>
      </c>
      <c r="D38" s="32">
        <f>INDEX('Panel Cut List'!$P$6:$P$51,MATCH(G38,'Panel Cut List'!$A$6:$A$51,0))</f>
        <v/>
      </c>
      <c r="E38" s="16">
        <f>INT(D38/12)&amp;"'-"&amp;IF(MOD(D38,12)&lt;10,"0","")&amp;MOD(D38,12)&amp;""""</f>
        <v/>
      </c>
      <c r="F38" s="31">
        <f>D38/12</f>
        <v/>
      </c>
      <c r="G38" s="27" t="inlineStr">
        <is>
          <t>J01</t>
        </is>
      </c>
      <c r="H38" s="27" t="inlineStr"/>
      <c r="I38" s="16" t="inlineStr"/>
    </row>
    <row r="39">
      <c r="A39" s="34" t="inlineStr">
        <is>
          <t>B34</t>
        </is>
      </c>
      <c r="B39" s="35" t="inlineStr">
        <is>
          <t>J</t>
        </is>
      </c>
      <c r="C39" s="35" t="inlineStr">
        <is>
          <t>FULL</t>
        </is>
      </c>
      <c r="D39" s="39">
        <f>INDEX('Panel Cut List'!$P$6:$P$51,MATCH(G39,'Panel Cut List'!$A$6:$A$51,0))</f>
        <v/>
      </c>
      <c r="E39" s="37">
        <f>INT(D39/12)&amp;"'-"&amp;IF(MOD(D39,12)&lt;10,"0","")&amp;MOD(D39,12)&amp;""""</f>
        <v/>
      </c>
      <c r="F39" s="38">
        <f>D39/12</f>
        <v/>
      </c>
      <c r="G39" s="35" t="inlineStr">
        <is>
          <t>J06</t>
        </is>
      </c>
      <c r="H39" s="35" t="inlineStr"/>
      <c r="I39" s="37" t="inlineStr"/>
    </row>
    <row r="40">
      <c r="A40" s="51" t="inlineStr">
        <is>
          <t>B35</t>
        </is>
      </c>
      <c r="B40" s="52" t="inlineStr">
        <is>
          <t>I</t>
        </is>
      </c>
      <c r="C40" s="52" t="inlineStr">
        <is>
          <t>RIP</t>
        </is>
      </c>
      <c r="D40" s="53">
        <f>INDEX('Panel Cut List'!$P$6:$P$51,MATCH(G40,'Panel Cut List'!$A$6:$A$51,0))</f>
        <v/>
      </c>
      <c r="E40" s="54">
        <f>INT(D40/12)&amp;"'-"&amp;IF(MOD(D40,12)&lt;10,"0","")&amp;MOD(D40,12)&amp;""""</f>
        <v/>
      </c>
      <c r="F40" s="55">
        <f>D40/12</f>
        <v/>
      </c>
      <c r="G40" s="52" t="inlineStr">
        <is>
          <t>I01</t>
        </is>
      </c>
      <c r="H40" s="52" t="inlineStr"/>
      <c r="I40" s="54" t="inlineStr">
        <is>
          <t>FIELD RIP — rip lengthwise to 5.7 in; cut edge under the rake trim. Offcut (~30 in × 8'-07") is retained stock.</t>
        </is>
      </c>
    </row>
    <row r="41">
      <c r="A41" s="34" t="inlineStr">
        <is>
          <t>B36</t>
        </is>
      </c>
      <c r="B41" s="35" t="inlineStr">
        <is>
          <t>I</t>
        </is>
      </c>
      <c r="C41" s="35" t="inlineStr">
        <is>
          <t>FULL</t>
        </is>
      </c>
      <c r="D41" s="39">
        <f>INDEX('Panel Cut List'!$P$6:$P$51,MATCH(G41,'Panel Cut List'!$A$6:$A$51,0))</f>
        <v/>
      </c>
      <c r="E41" s="37">
        <f>INT(D41/12)&amp;"'-"&amp;IF(MOD(D41,12)&lt;10,"0","")&amp;MOD(D41,12)&amp;""""</f>
        <v/>
      </c>
      <c r="F41" s="38">
        <f>D41/12</f>
        <v/>
      </c>
      <c r="G41" s="35" t="inlineStr">
        <is>
          <t>I02</t>
        </is>
      </c>
      <c r="H41" s="35" t="inlineStr"/>
      <c r="I41" s="37" t="inlineStr"/>
    </row>
    <row r="42">
      <c r="A42" s="24" t="inlineStr">
        <is>
          <t>B37</t>
        </is>
      </c>
      <c r="B42" s="27" t="inlineStr">
        <is>
          <t>I</t>
        </is>
      </c>
      <c r="C42" s="27" t="inlineStr">
        <is>
          <t>FULL</t>
        </is>
      </c>
      <c r="D42" s="32">
        <f>INDEX('Panel Cut List'!$P$6:$P$51,MATCH(G42,'Panel Cut List'!$A$6:$A$51,0))</f>
        <v/>
      </c>
      <c r="E42" s="16">
        <f>INT(D42/12)&amp;"'-"&amp;IF(MOD(D42,12)&lt;10,"0","")&amp;MOD(D42,12)&amp;""""</f>
        <v/>
      </c>
      <c r="F42" s="31">
        <f>D42/12</f>
        <v/>
      </c>
      <c r="G42" s="27" t="inlineStr">
        <is>
          <t>I03</t>
        </is>
      </c>
      <c r="H42" s="27" t="inlineStr"/>
      <c r="I42" s="16" t="inlineStr"/>
    </row>
    <row r="43">
      <c r="A43" s="34" t="inlineStr">
        <is>
          <t>B38</t>
        </is>
      </c>
      <c r="B43" s="35" t="inlineStr">
        <is>
          <t>I</t>
        </is>
      </c>
      <c r="C43" s="35" t="inlineStr">
        <is>
          <t>FULL</t>
        </is>
      </c>
      <c r="D43" s="39">
        <f>INDEX('Panel Cut List'!$P$6:$P$51,MATCH(G43,'Panel Cut List'!$A$6:$A$51,0))</f>
        <v/>
      </c>
      <c r="E43" s="37">
        <f>INT(D43/12)&amp;"'-"&amp;IF(MOD(D43,12)&lt;10,"0","")&amp;MOD(D43,12)&amp;""""</f>
        <v/>
      </c>
      <c r="F43" s="38">
        <f>D43/12</f>
        <v/>
      </c>
      <c r="G43" s="35" t="inlineStr">
        <is>
          <t>I09</t>
        </is>
      </c>
      <c r="H43" s="35" t="inlineStr"/>
      <c r="I43" s="37" t="inlineStr"/>
    </row>
    <row r="44">
      <c r="A44" s="24" t="inlineStr">
        <is>
          <t>B39</t>
        </is>
      </c>
      <c r="B44" s="27" t="inlineStr">
        <is>
          <t>I</t>
        </is>
      </c>
      <c r="C44" s="27" t="inlineStr">
        <is>
          <t>FULL</t>
        </is>
      </c>
      <c r="D44" s="32">
        <f>INDEX('Panel Cut List'!$P$6:$P$51,MATCH(G44,'Panel Cut List'!$A$6:$A$51,0))</f>
        <v/>
      </c>
      <c r="E44" s="16">
        <f>INT(D44/12)&amp;"'-"&amp;IF(MOD(D44,12)&lt;10,"0","")&amp;MOD(D44,12)&amp;""""</f>
        <v/>
      </c>
      <c r="F44" s="31">
        <f>D44/12</f>
        <v/>
      </c>
      <c r="G44" s="27" t="inlineStr">
        <is>
          <t>I10</t>
        </is>
      </c>
      <c r="H44" s="27" t="inlineStr"/>
      <c r="I44" s="16" t="inlineStr"/>
    </row>
    <row r="45">
      <c r="A45" s="51" t="inlineStr">
        <is>
          <t>B40</t>
        </is>
      </c>
      <c r="B45" s="52" t="inlineStr">
        <is>
          <t>I</t>
        </is>
      </c>
      <c r="C45" s="52" t="inlineStr">
        <is>
          <t>RIP</t>
        </is>
      </c>
      <c r="D45" s="53">
        <f>INDEX('Panel Cut List'!$P$6:$P$51,MATCH(G45,'Panel Cut List'!$A$6:$A$51,0))</f>
        <v/>
      </c>
      <c r="E45" s="54">
        <f>INT(D45/12)&amp;"'-"&amp;IF(MOD(D45,12)&lt;10,"0","")&amp;MOD(D45,12)&amp;""""</f>
        <v/>
      </c>
      <c r="F45" s="55">
        <f>D45/12</f>
        <v/>
      </c>
      <c r="G45" s="52" t="inlineStr">
        <is>
          <t>I11</t>
        </is>
      </c>
      <c r="H45" s="52" t="inlineStr"/>
      <c r="I45" s="54" t="inlineStr">
        <is>
          <t>FIELD RIP — rip lengthwise to 6.0 in; cut edge under the rake trim. Offcut (~30 in × 8'-07") is retained stock.</t>
        </is>
      </c>
    </row>
    <row r="46">
      <c r="A46" s="24" t="inlineStr">
        <is>
          <t>B41</t>
        </is>
      </c>
      <c r="B46" s="27" t="inlineStr">
        <is>
          <t>J</t>
        </is>
      </c>
      <c r="C46" s="27" t="inlineStr">
        <is>
          <t>FULL</t>
        </is>
      </c>
      <c r="D46" s="32">
        <f>INDEX('Panel Cut List'!$P$6:$P$51,MATCH(G46,'Panel Cut List'!$A$6:$A$51,0))</f>
        <v/>
      </c>
      <c r="E46" s="16">
        <f>INT(D46/12)&amp;"'-"&amp;IF(MOD(D46,12)&lt;10,"0","")&amp;MOD(D46,12)&amp;""""</f>
        <v/>
      </c>
      <c r="F46" s="31">
        <f>D46/12</f>
        <v/>
      </c>
      <c r="G46" s="27" t="inlineStr">
        <is>
          <t>J02</t>
        </is>
      </c>
      <c r="H46" s="27" t="inlineStr"/>
      <c r="I46" s="16" t="inlineStr"/>
    </row>
    <row r="47">
      <c r="A47" s="34" t="inlineStr">
        <is>
          <t>B42</t>
        </is>
      </c>
      <c r="B47" s="35" t="inlineStr">
        <is>
          <t>J</t>
        </is>
      </c>
      <c r="C47" s="35" t="inlineStr">
        <is>
          <t>FULL</t>
        </is>
      </c>
      <c r="D47" s="39">
        <f>INDEX('Panel Cut List'!$P$6:$P$51,MATCH(G47,'Panel Cut List'!$A$6:$A$51,0))</f>
        <v/>
      </c>
      <c r="E47" s="37">
        <f>INT(D47/12)&amp;"'-"&amp;IF(MOD(D47,12)&lt;10,"0","")&amp;MOD(D47,12)&amp;""""</f>
        <v/>
      </c>
      <c r="F47" s="38">
        <f>D47/12</f>
        <v/>
      </c>
      <c r="G47" s="35" t="inlineStr">
        <is>
          <t>J05</t>
        </is>
      </c>
      <c r="H47" s="35" t="inlineStr"/>
      <c r="I47" s="37" t="inlineStr"/>
    </row>
    <row r="48">
      <c r="A48" s="24" t="inlineStr">
        <is>
          <t>B43</t>
        </is>
      </c>
      <c r="B48" s="27" t="inlineStr">
        <is>
          <t>D</t>
        </is>
      </c>
      <c r="C48" s="27" t="inlineStr">
        <is>
          <t>FULL</t>
        </is>
      </c>
      <c r="D48" s="32">
        <f>INDEX('Panel Cut List'!$P$6:$P$51,MATCH(G48,'Panel Cut List'!$A$6:$A$51,0))</f>
        <v/>
      </c>
      <c r="E48" s="16">
        <f>INT(D48/12)&amp;"'-"&amp;IF(MOD(D48,12)&lt;10,"0","")&amp;MOD(D48,12)&amp;""""</f>
        <v/>
      </c>
      <c r="F48" s="31">
        <f>D48/12</f>
        <v/>
      </c>
      <c r="G48" s="27" t="inlineStr">
        <is>
          <t>D02</t>
        </is>
      </c>
      <c r="H48" s="27" t="inlineStr"/>
      <c r="I48" s="16" t="inlineStr"/>
    </row>
    <row r="49">
      <c r="A49" s="34" t="inlineStr">
        <is>
          <t>B44</t>
        </is>
      </c>
      <c r="B49" s="35" t="inlineStr">
        <is>
          <t>E</t>
        </is>
      </c>
      <c r="C49" s="35" t="inlineStr">
        <is>
          <t>FULL</t>
        </is>
      </c>
      <c r="D49" s="39">
        <f>INDEX('Panel Cut List'!$P$6:$P$51,MATCH(G49,'Panel Cut List'!$A$6:$A$51,0))</f>
        <v/>
      </c>
      <c r="E49" s="37">
        <f>INT(D49/12)&amp;"'-"&amp;IF(MOD(D49,12)&lt;10,"0","")&amp;MOD(D49,12)&amp;""""</f>
        <v/>
      </c>
      <c r="F49" s="38">
        <f>D49/12</f>
        <v/>
      </c>
      <c r="G49" s="35" t="inlineStr">
        <is>
          <t>E09</t>
        </is>
      </c>
      <c r="H49" s="35" t="inlineStr"/>
      <c r="I49" s="37" t="inlineStr"/>
    </row>
    <row r="50">
      <c r="A50" s="24" t="inlineStr">
        <is>
          <t>B45</t>
        </is>
      </c>
      <c r="B50" s="27" t="inlineStr">
        <is>
          <t>J</t>
        </is>
      </c>
      <c r="C50" s="27" t="inlineStr">
        <is>
          <t>FULL</t>
        </is>
      </c>
      <c r="D50" s="32">
        <f>INDEX('Panel Cut List'!$P$6:$P$51,MATCH(G50,'Panel Cut List'!$A$6:$A$51,0))</f>
        <v/>
      </c>
      <c r="E50" s="16">
        <f>INT(D50/12)&amp;"'-"&amp;IF(MOD(D50,12)&lt;10,"0","")&amp;MOD(D50,12)&amp;""""</f>
        <v/>
      </c>
      <c r="F50" s="31">
        <f>D50/12</f>
        <v/>
      </c>
      <c r="G50" s="27" t="inlineStr">
        <is>
          <t>J03</t>
        </is>
      </c>
      <c r="H50" s="27" t="inlineStr"/>
      <c r="I50" s="16" t="inlineStr"/>
    </row>
    <row r="51">
      <c r="A51" s="34" t="inlineStr">
        <is>
          <t>B46</t>
        </is>
      </c>
      <c r="B51" s="35" t="inlineStr">
        <is>
          <t>J</t>
        </is>
      </c>
      <c r="C51" s="35" t="inlineStr">
        <is>
          <t>FULL</t>
        </is>
      </c>
      <c r="D51" s="39">
        <f>INDEX('Panel Cut List'!$P$6:$P$51,MATCH(G51,'Panel Cut List'!$A$6:$A$51,0))</f>
        <v/>
      </c>
      <c r="E51" s="37">
        <f>INT(D51/12)&amp;"'-"&amp;IF(MOD(D51,12)&lt;10,"0","")&amp;MOD(D51,12)&amp;""""</f>
        <v/>
      </c>
      <c r="F51" s="38">
        <f>D51/12</f>
        <v/>
      </c>
      <c r="G51" s="35" t="inlineStr">
        <is>
          <t>J04</t>
        </is>
      </c>
      <c r="H51" s="35" t="inlineStr"/>
      <c r="I51" s="37" t="inlineStr"/>
    </row>
    <row r="52">
      <c r="A52" s="47" t="inlineStr">
        <is>
          <t>TOTAL</t>
        </is>
      </c>
      <c r="B52" s="47" t="n"/>
      <c r="C52" s="50">
        <f>COUNTA(A6:A51)</f>
        <v/>
      </c>
      <c r="D52" s="50">
        <f>SUM(D6:D51)</f>
        <v/>
      </c>
      <c r="E52" s="47" t="n"/>
      <c r="F52" s="48">
        <f>SUM(F6:F51)</f>
        <v/>
      </c>
      <c r="G52" s="47" t="n"/>
      <c r="H52" s="47" t="n"/>
      <c r="I52" s="47" t="inlineStr">
        <is>
          <t>BLANKS ORDERED  •  total ordered footage in feet</t>
        </is>
      </c>
    </row>
  </sheetData>
  <mergeCells count="2">
    <mergeCell ref="A1:I2"/>
    <mergeCell ref="A3:I3"/>
  </mergeCells>
  <printOptions horizontalCentered="1"/>
  <pageMargins left="0.35" right="0.35" top="0.45" bottom="0.45" header="0.5" footer="0.5"/>
  <pageSetup orientation="landscape" paperSize="1" fitToHeight="0" fitToWidth="1"/>
</worksheet>
</file>

<file path=xl/worksheets/sheet5.xml><?xml version="1.0" encoding="utf-8"?>
<worksheet xmlns="http://schemas.openxmlformats.org/spreadsheetml/2006/main">
  <sheetPr>
    <outlinePr summaryBelow="1" summaryRight="1"/>
    <pageSetUpPr fitToPage="1"/>
  </sheetPr>
  <dimension ref="A1:H24"/>
  <sheetViews>
    <sheetView workbookViewId="0">
      <selection activeCell="A1" sqref="A1"/>
    </sheetView>
  </sheetViews>
  <sheetFormatPr baseColWidth="8" defaultRowHeight="15"/>
  <cols>
    <col width="13" customWidth="1" min="1" max="1"/>
    <col width="12" customWidth="1" min="2" max="2"/>
    <col width="7" customWidth="1" min="3" max="3"/>
    <col width="11" customWidth="1" min="4" max="4"/>
    <col width="16" customWidth="1" min="5" max="5"/>
    <col width="20" customWidth="1" min="6" max="6"/>
    <col width="34" customWidth="1" min="7" max="7"/>
    <col width="60" customWidth="1" min="8" max="8"/>
  </cols>
  <sheetData>
    <row r="1" ht="24" customHeight="1">
      <c r="A1" s="1" t="inlineStr">
        <is>
          <t>COLLINS — GROUPED BLANK ORDER</t>
        </is>
      </c>
      <c r="B1" s="2" t="n"/>
      <c r="C1" s="2" t="n"/>
      <c r="D1" s="2" t="n"/>
      <c r="E1" s="2" t="n"/>
      <c r="F1" s="2" t="n"/>
      <c r="G1" s="2" t="n"/>
      <c r="H1" s="2" t="n"/>
    </row>
    <row r="2" ht="16" customHeight="1">
      <c r="A2" s="2" t="n"/>
      <c r="B2" s="2" t="n"/>
      <c r="C2" s="2" t="n"/>
      <c r="D2" s="2" t="n"/>
      <c r="E2" s="2" t="n"/>
      <c r="F2" s="2" t="n"/>
      <c r="G2" s="2" t="n"/>
      <c r="H2" s="2" t="n"/>
    </row>
    <row r="3" ht="15" customHeight="1">
      <c r="A3" s="3" t="inlineStr">
        <is>
          <t>Supplier release view — Ibex PBR, 24 ga PVDF, 36 in net coverage, 1-1/4 in rib.</t>
        </is>
      </c>
    </row>
    <row r="5" ht="28" customHeight="1">
      <c r="A5" s="7" t="inlineStr">
        <is>
          <t>Cut length in</t>
        </is>
      </c>
      <c r="B5" s="7" t="inlineStr">
        <is>
          <t>Cut length</t>
        </is>
      </c>
      <c r="C5" s="7" t="inlineStr">
        <is>
          <t>Qty</t>
        </is>
      </c>
      <c r="D5" s="7" t="inlineStr">
        <is>
          <t>Total LF</t>
        </is>
      </c>
      <c r="E5" s="7" t="inlineStr">
        <is>
          <t>Gauge / profile</t>
        </is>
      </c>
      <c r="F5" s="7" t="inlineStr">
        <is>
          <t>Finish</t>
        </is>
      </c>
      <c r="G5" s="7" t="inlineStr">
        <is>
          <t>Panels produced</t>
        </is>
      </c>
      <c r="H5" s="7" t="inlineStr">
        <is>
          <t>Note</t>
        </is>
      </c>
    </row>
    <row r="6">
      <c r="A6" s="32" t="n">
        <v>211</v>
      </c>
      <c r="B6" s="24">
        <f>INT(A6/12)&amp;"'-"&amp;IF(MOD(A6,12)&lt;10,"0","")&amp;MOD(A6,12)&amp;""""</f>
        <v/>
      </c>
      <c r="C6" s="32">
        <f>COUNTIF('Blank List'!$D$6:$D$51,A6)</f>
        <v/>
      </c>
      <c r="D6" s="31">
        <f>A6*C6/12</f>
        <v/>
      </c>
      <c r="E6" s="16" t="inlineStr">
        <is>
          <t>24 ga PBR</t>
        </is>
      </c>
      <c r="F6" s="16" t="inlineStr">
        <is>
          <t>Medium Bronze • PVDF</t>
        </is>
      </c>
      <c r="G6" s="16" t="inlineStr">
        <is>
          <t>D03, D04, D05, D06, D07, D08, D09</t>
        </is>
      </c>
      <c r="H6" s="56" t="inlineStr"/>
    </row>
    <row r="7">
      <c r="A7" s="39" t="n">
        <v>210</v>
      </c>
      <c r="B7" s="34">
        <f>INT(A7/12)&amp;"'-"&amp;IF(MOD(A7,12)&lt;10,"0","")&amp;MOD(A7,12)&amp;""""</f>
        <v/>
      </c>
      <c r="C7" s="39">
        <f>COUNTIF('Blank List'!$D$6:$D$51,A7)</f>
        <v/>
      </c>
      <c r="D7" s="38">
        <f>A7*C7/12</f>
        <v/>
      </c>
      <c r="E7" s="37" t="inlineStr">
        <is>
          <t>24 ga PBR</t>
        </is>
      </c>
      <c r="F7" s="37" t="inlineStr">
        <is>
          <t>Medium Bronze • PVDF</t>
        </is>
      </c>
      <c r="G7" s="37" t="inlineStr">
        <is>
          <t>E01, E02, E03, E04, E05, E06, E07</t>
        </is>
      </c>
      <c r="H7" s="57" t="inlineStr"/>
    </row>
    <row r="8">
      <c r="A8" s="32" t="n">
        <v>196</v>
      </c>
      <c r="B8" s="24">
        <f>INT(A8/12)&amp;"'-"&amp;IF(MOD(A8,12)&lt;10,"0","")&amp;MOD(A8,12)&amp;""""</f>
        <v/>
      </c>
      <c r="C8" s="32">
        <f>COUNTIF('Blank List'!$D$6:$D$51,A8)</f>
        <v/>
      </c>
      <c r="D8" s="31">
        <f>A8*C8/12</f>
        <v/>
      </c>
      <c r="E8" s="16" t="inlineStr">
        <is>
          <t>24 ga PBR</t>
        </is>
      </c>
      <c r="F8" s="16" t="inlineStr">
        <is>
          <t>Medium Bronze • PVDF</t>
        </is>
      </c>
      <c r="G8" s="16" t="inlineStr">
        <is>
          <t>I06</t>
        </is>
      </c>
      <c r="H8" s="56" t="inlineStr"/>
    </row>
    <row r="9">
      <c r="A9" s="39" t="n">
        <v>170</v>
      </c>
      <c r="B9" s="34">
        <f>INT(A9/12)&amp;"'-"&amp;IF(MOD(A9,12)&lt;10,"0","")&amp;MOD(A9,12)&amp;""""</f>
        <v/>
      </c>
      <c r="C9" s="39">
        <f>COUNTIF('Blank List'!$D$6:$D$51,A9)</f>
        <v/>
      </c>
      <c r="D9" s="38">
        <f>A9*C9/12</f>
        <v/>
      </c>
      <c r="E9" s="37" t="inlineStr">
        <is>
          <t>24 ga PBR</t>
        </is>
      </c>
      <c r="F9" s="37" t="inlineStr">
        <is>
          <t>Medium Bronze • PVDF</t>
        </is>
      </c>
      <c r="G9" s="37" t="inlineStr">
        <is>
          <t>I07</t>
        </is>
      </c>
      <c r="H9" s="57" t="inlineStr"/>
    </row>
    <row r="10">
      <c r="A10" s="32" t="n">
        <v>169</v>
      </c>
      <c r="B10" s="24">
        <f>INT(A10/12)&amp;"'-"&amp;IF(MOD(A10,12)&lt;10,"0","")&amp;MOD(A10,12)&amp;""""</f>
        <v/>
      </c>
      <c r="C10" s="32">
        <f>COUNTIF('Blank List'!$D$6:$D$51,A10)</f>
        <v/>
      </c>
      <c r="D10" s="31">
        <f>A10*C10/12</f>
        <v/>
      </c>
      <c r="E10" s="16" t="inlineStr">
        <is>
          <t>24 ga PBR</t>
        </is>
      </c>
      <c r="F10" s="16" t="inlineStr">
        <is>
          <t>Medium Bronze • PVDF</t>
        </is>
      </c>
      <c r="G10" s="16" t="inlineStr">
        <is>
          <t>I05</t>
        </is>
      </c>
      <c r="H10" s="56" t="inlineStr"/>
    </row>
    <row r="11">
      <c r="A11" s="39" t="n">
        <v>155</v>
      </c>
      <c r="B11" s="34">
        <f>INT(A11/12)&amp;"'-"&amp;IF(MOD(A11,12)&lt;10,"0","")&amp;MOD(A11,12)&amp;""""</f>
        <v/>
      </c>
      <c r="C11" s="39">
        <f>COUNTIF('Blank List'!$D$6:$D$51,A11)</f>
        <v/>
      </c>
      <c r="D11" s="38">
        <f>A11*C11/12</f>
        <v/>
      </c>
      <c r="E11" s="37" t="inlineStr">
        <is>
          <t>24 ga PBR</t>
        </is>
      </c>
      <c r="F11" s="37" t="inlineStr">
        <is>
          <t>Medium Bronze • PVDF</t>
        </is>
      </c>
      <c r="G11" s="37" t="inlineStr">
        <is>
          <t>D01</t>
        </is>
      </c>
      <c r="H11" s="57" t="inlineStr"/>
    </row>
    <row r="12">
      <c r="A12" s="32" t="n">
        <v>154</v>
      </c>
      <c r="B12" s="24">
        <f>INT(A12/12)&amp;"'-"&amp;IF(MOD(A12,12)&lt;10,"0","")&amp;MOD(A12,12)&amp;""""</f>
        <v/>
      </c>
      <c r="C12" s="32">
        <f>COUNTIF('Blank List'!$D$6:$D$51,A12)</f>
        <v/>
      </c>
      <c r="D12" s="31">
        <f>A12*C12/12</f>
        <v/>
      </c>
      <c r="E12" s="16" t="inlineStr">
        <is>
          <t>24 ga PBR</t>
        </is>
      </c>
      <c r="F12" s="16" t="inlineStr">
        <is>
          <t>Medium Bronze • PVDF</t>
        </is>
      </c>
      <c r="G12" s="16" t="inlineStr">
        <is>
          <t>E08</t>
        </is>
      </c>
      <c r="H12" s="56" t="inlineStr"/>
    </row>
    <row r="13">
      <c r="A13" s="39" t="n">
        <v>125</v>
      </c>
      <c r="B13" s="34">
        <f>INT(A13/12)&amp;"'-"&amp;IF(MOD(A13,12)&lt;10,"0","")&amp;MOD(A13,12)&amp;""""</f>
        <v/>
      </c>
      <c r="C13" s="39">
        <f>COUNTIF('Blank List'!$D$6:$D$51,A13)</f>
        <v/>
      </c>
      <c r="D13" s="38">
        <f>A13*C13/12</f>
        <v/>
      </c>
      <c r="E13" s="37" t="inlineStr">
        <is>
          <t>24 ga PBR</t>
        </is>
      </c>
      <c r="F13" s="37" t="inlineStr">
        <is>
          <t>Medium Bronze • PVDF</t>
        </is>
      </c>
      <c r="G13" s="37" t="inlineStr">
        <is>
          <t>H01, H02, H03, H04, H05, H06, H07, H08, H09, H10, H11</t>
        </is>
      </c>
      <c r="H13" s="57" t="inlineStr">
        <is>
          <t>FIELD RIP — rip lengthwise to 5.8 in; cut edge under the rake trim. Offcut (~30 in × 10'-05") is retained stock. FIELD RIP — rip lengthwise to 6.1 in; cut edge under the rake trim. Offcut (~30 in × 10'-05") is retained stock.</t>
        </is>
      </c>
    </row>
    <row r="14">
      <c r="A14" s="32" t="n">
        <v>118</v>
      </c>
      <c r="B14" s="24">
        <f>INT(A14/12)&amp;"'-"&amp;IF(MOD(A14,12)&lt;10,"0","")&amp;MOD(A14,12)&amp;""""</f>
        <v/>
      </c>
      <c r="C14" s="32">
        <f>COUNTIF('Blank List'!$D$6:$D$51,A14)</f>
        <v/>
      </c>
      <c r="D14" s="31">
        <f>A14*C14/12</f>
        <v/>
      </c>
      <c r="E14" s="16" t="inlineStr">
        <is>
          <t>24 ga PBR</t>
        </is>
      </c>
      <c r="F14" s="16" t="inlineStr">
        <is>
          <t>Medium Bronze • PVDF</t>
        </is>
      </c>
      <c r="G14" s="16" t="inlineStr">
        <is>
          <t>I04, I08</t>
        </is>
      </c>
      <c r="H14" s="56" t="inlineStr"/>
    </row>
    <row r="15">
      <c r="A15" s="39" t="n">
        <v>117</v>
      </c>
      <c r="B15" s="34">
        <f>INT(A15/12)&amp;"'-"&amp;IF(MOD(A15,12)&lt;10,"0","")&amp;MOD(A15,12)&amp;""""</f>
        <v/>
      </c>
      <c r="C15" s="39">
        <f>COUNTIF('Blank List'!$D$6:$D$51,A15)</f>
        <v/>
      </c>
      <c r="D15" s="38">
        <f>A15*C15/12</f>
        <v/>
      </c>
      <c r="E15" s="37" t="inlineStr">
        <is>
          <t>24 ga PBR</t>
        </is>
      </c>
      <c r="F15" s="37" t="inlineStr">
        <is>
          <t>Medium Bronze • PVDF</t>
        </is>
      </c>
      <c r="G15" s="37" t="inlineStr">
        <is>
          <t>J01, J06</t>
        </is>
      </c>
      <c r="H15" s="57" t="inlineStr"/>
    </row>
    <row r="16">
      <c r="A16" s="32" t="n">
        <v>103</v>
      </c>
      <c r="B16" s="24">
        <f>INT(A16/12)&amp;"'-"&amp;IF(MOD(A16,12)&lt;10,"0","")&amp;MOD(A16,12)&amp;""""</f>
        <v/>
      </c>
      <c r="C16" s="32">
        <f>COUNTIF('Blank List'!$D$6:$D$51,A16)</f>
        <v/>
      </c>
      <c r="D16" s="31">
        <f>A16*C16/12</f>
        <v/>
      </c>
      <c r="E16" s="16" t="inlineStr">
        <is>
          <t>24 ga PBR</t>
        </is>
      </c>
      <c r="F16" s="16" t="inlineStr">
        <is>
          <t>Medium Bronze • PVDF</t>
        </is>
      </c>
      <c r="G16" s="16" t="inlineStr">
        <is>
          <t>I01, I02, I03, I09, I10, I11</t>
        </is>
      </c>
      <c r="H16" s="56" t="inlineStr">
        <is>
          <t>FIELD RIP — rip lengthwise to 5.7 in; cut edge under the rake trim. Offcut (~30 in × 8'-07") is retained stock. FIELD RIP — rip lengthwise to 6.0 in; cut edge under the rake trim. Offcut (~30 in × 8'-07") is retained stock.</t>
        </is>
      </c>
    </row>
    <row r="17">
      <c r="A17" s="39" t="n">
        <v>77</v>
      </c>
      <c r="B17" s="34">
        <f>INT(A17/12)&amp;"'-"&amp;IF(MOD(A17,12)&lt;10,"0","")&amp;MOD(A17,12)&amp;""""</f>
        <v/>
      </c>
      <c r="C17" s="39">
        <f>COUNTIF('Blank List'!$D$6:$D$51,A17)</f>
        <v/>
      </c>
      <c r="D17" s="38">
        <f>A17*C17/12</f>
        <v/>
      </c>
      <c r="E17" s="37" t="inlineStr">
        <is>
          <t>24 ga PBR</t>
        </is>
      </c>
      <c r="F17" s="37" t="inlineStr">
        <is>
          <t>Medium Bronze • PVDF</t>
        </is>
      </c>
      <c r="G17" s="37" t="inlineStr">
        <is>
          <t>J02, J05</t>
        </is>
      </c>
      <c r="H17" s="57" t="inlineStr"/>
    </row>
    <row r="18">
      <c r="A18" s="32" t="n">
        <v>65</v>
      </c>
      <c r="B18" s="24">
        <f>INT(A18/12)&amp;"'-"&amp;IF(MOD(A18,12)&lt;10,"0","")&amp;MOD(A18,12)&amp;""""</f>
        <v/>
      </c>
      <c r="C18" s="32">
        <f>COUNTIF('Blank List'!$D$6:$D$51,A18)</f>
        <v/>
      </c>
      <c r="D18" s="31">
        <f>A18*C18/12</f>
        <v/>
      </c>
      <c r="E18" s="16" t="inlineStr">
        <is>
          <t>24 ga PBR</t>
        </is>
      </c>
      <c r="F18" s="16" t="inlineStr">
        <is>
          <t>Medium Bronze • PVDF</t>
        </is>
      </c>
      <c r="G18" s="16" t="inlineStr">
        <is>
          <t>D02, E09</t>
        </is>
      </c>
      <c r="H18" s="56" t="inlineStr"/>
    </row>
    <row r="19">
      <c r="A19" s="39" t="n">
        <v>37</v>
      </c>
      <c r="B19" s="34">
        <f>INT(A19/12)&amp;"'-"&amp;IF(MOD(A19,12)&lt;10,"0","")&amp;MOD(A19,12)&amp;""""</f>
        <v/>
      </c>
      <c r="C19" s="39">
        <f>COUNTIF('Blank List'!$D$6:$D$51,A19)</f>
        <v/>
      </c>
      <c r="D19" s="38">
        <f>A19*C19/12</f>
        <v/>
      </c>
      <c r="E19" s="37" t="inlineStr">
        <is>
          <t>24 ga PBR</t>
        </is>
      </c>
      <c r="F19" s="37" t="inlineStr">
        <is>
          <t>Medium Bronze • PVDF</t>
        </is>
      </c>
      <c r="G19" s="37" t="inlineStr">
        <is>
          <t>J03, J04</t>
        </is>
      </c>
      <c r="H19" s="57" t="inlineStr"/>
    </row>
    <row r="20">
      <c r="A20" s="47" t="inlineStr">
        <is>
          <t>TOTAL</t>
        </is>
      </c>
      <c r="B20" s="47" t="n"/>
      <c r="C20" s="50">
        <f>SUM(C6:C19)</f>
        <v/>
      </c>
      <c r="D20" s="48">
        <f>SUM(D6:D19)</f>
        <v/>
      </c>
      <c r="E20" s="47" t="n"/>
      <c r="F20" s="47" t="n"/>
      <c r="G20" s="47">
        <f>COUNTA('Panel Cut List'!$A$6:$A$51)&amp;" panels installed"</f>
        <v/>
      </c>
      <c r="H20" s="47" t="inlineStr">
        <is>
          <t>blanks • total ordered footage LF</t>
        </is>
      </c>
    </row>
    <row r="22" ht="24" customHeight="1">
      <c r="A22" s="11" t="inlineStr">
        <is>
          <t>DECIDED 2026-07-28 — 46 blanks, no spares. H01, H11, I01 and I11 are field rips: lengthwise cuts only, cut edge under the rake trim, offcuts retained. No crosswise field cuts on this job: the eave end of every panel is the factory edge, and length slop is trimmed at the top under ridge / hip / pitch-break trim.</t>
        </is>
      </c>
    </row>
    <row r="23" ht="24" customHeight="1">
      <c r="A23" s="11" t="inlineStr">
        <is>
          <t>All lengths are whole-inch fabrication lengths. Order length = fabrication run + eave projection where the panel terminates at an eave + field-verification allowance.</t>
        </is>
      </c>
    </row>
    <row r="24" ht="24" customHeight="1">
      <c r="A24" s="11" t="inlineStr">
        <is>
          <t>Panel IDs match the numbered plane drawings in the companion PDF packet.</t>
        </is>
      </c>
    </row>
  </sheetData>
  <mergeCells count="5">
    <mergeCell ref="A3:H3"/>
    <mergeCell ref="A24:H24"/>
    <mergeCell ref="A23:H23"/>
    <mergeCell ref="A1:H2"/>
    <mergeCell ref="A22:H22"/>
  </mergeCells>
  <printOptions horizontalCentered="1"/>
  <pageMargins left="0.35" right="0.35" top="0.45" bottom="0.45" header="0.5" footer="0.5"/>
  <pageSetup orientation="landscape" paperSize="1" fitToHeight="0" fitToWidth="1"/>
</worksheet>
</file>

<file path=xl/worksheets/sheet6.xml><?xml version="1.0" encoding="utf-8"?>
<worksheet xmlns="http://schemas.openxmlformats.org/spreadsheetml/2006/main">
  <sheetPr>
    <outlinePr summaryBelow="1" summaryRight="1"/>
    <pageSetUpPr fitToPage="1"/>
  </sheetPr>
  <dimension ref="A1:I55"/>
  <sheetViews>
    <sheetView workbookViewId="0">
      <selection activeCell="A1" sqref="A1"/>
    </sheetView>
  </sheetViews>
  <sheetFormatPr baseColWidth="8" defaultRowHeight="15"/>
  <cols>
    <col width="34" customWidth="1" min="1" max="1"/>
    <col width="30" customWidth="1" min="2" max="2"/>
    <col width="9" customWidth="1" min="3" max="3"/>
    <col width="8" customWidth="1" min="4" max="4"/>
    <col width="7" customWidth="1" min="5" max="5"/>
    <col width="8" customWidth="1" min="6" max="6"/>
    <col width="11" customWidth="1" min="7" max="7"/>
    <col width="11" customWidth="1" min="8" max="8"/>
    <col width="56" customWidth="1" min="9" max="9"/>
  </cols>
  <sheetData>
    <row r="1" ht="24" customHeight="1">
      <c r="A1" s="1" t="inlineStr">
        <is>
          <t>COLLINS — TRIM &amp; ACCESSORIES</t>
        </is>
      </c>
      <c r="B1" s="2" t="n"/>
      <c r="C1" s="2" t="n"/>
      <c r="D1" s="2" t="n"/>
      <c r="E1" s="2" t="n"/>
      <c r="F1" s="2" t="n"/>
      <c r="G1" s="2" t="n"/>
      <c r="H1" s="2" t="n"/>
      <c r="I1" s="2" t="n"/>
    </row>
    <row r="2" ht="16" customHeight="1">
      <c r="A2" s="2" t="n"/>
      <c r="B2" s="2" t="n"/>
      <c r="C2" s="2" t="n"/>
      <c r="D2" s="2" t="n"/>
      <c r="E2" s="2" t="n"/>
      <c r="F2" s="2" t="n"/>
      <c r="G2" s="2" t="n"/>
      <c r="H2" s="2" t="n"/>
      <c r="I2" s="2" t="n"/>
    </row>
    <row r="3" ht="15" customHeight="1">
      <c r="A3" s="3" t="inlineStr">
        <is>
          <t>Edge basis: 2026-04-01 site-inspection report (passes the perimeter test; the strip drawing fails it by 25.8 ft). Sticks are computed PER PHYSICAL RUN — one 10-ft stick covers a 9'-11" run with no lap; laps occur only between sticks inside one run.</t>
        </is>
      </c>
    </row>
    <row r="5" ht="28" customHeight="1">
      <c r="A5" s="7" t="inlineStr">
        <is>
          <t>Item</t>
        </is>
      </c>
      <c r="B5" s="7" t="inlineStr">
        <is>
          <t>Run</t>
        </is>
      </c>
      <c r="C5" s="7" t="inlineStr">
        <is>
          <t>Run LF</t>
        </is>
      </c>
      <c r="D5" s="7" t="inlineStr">
        <is>
          <t>Stock ft</t>
        </is>
      </c>
      <c r="E5" s="7" t="inlineStr">
        <is>
          <t>Lap in</t>
        </is>
      </c>
      <c r="F5" s="7" t="inlineStr">
        <is>
          <t>Sticks</t>
        </is>
      </c>
      <c r="G5" s="7" t="inlineStr">
        <is>
          <t>Family pieces</t>
        </is>
      </c>
      <c r="H5" s="7" t="inlineStr">
        <is>
          <t>Supplied LF</t>
        </is>
      </c>
      <c r="I5" s="7" t="inlineStr">
        <is>
          <t>Fabrication &amp; install note</t>
        </is>
      </c>
    </row>
    <row r="6">
      <c r="A6" s="16" t="inlineStr">
        <is>
          <t>Custom oversized D-style eave / drip edge</t>
        </is>
      </c>
      <c r="B6" s="19" t="inlineStr">
        <is>
          <t>Porch front eave</t>
        </is>
      </c>
      <c r="C6" s="58" t="n">
        <v>28.06</v>
      </c>
      <c r="D6" s="25">
        <f>TRIM_STOCK_FT</f>
        <v/>
      </c>
      <c r="E6" s="25" t="n">
        <v>6</v>
      </c>
      <c r="F6" s="25">
        <f>IF(C6*(1+TRIM_WASTE_PCT)&lt;=D6,1,1+ROUNDUP((C6*(1+TRIM_WASTE_PCT)-D6)/(D6-E6/12),0))</f>
        <v/>
      </c>
      <c r="G6" s="59">
        <f>SUM(F6:F8)</f>
        <v/>
      </c>
      <c r="H6" s="25">
        <f>G6*TRIM_STOCK_FT</f>
        <v/>
      </c>
      <c r="I6" s="60" t="inlineStr">
        <is>
          <t>Color matched. Carries the contracted 6-in panel projection. Fabricate per KR-COL-ED-01 Rev B; two brake angles (4/12 porch, 8/12 main) — see drawing.</t>
        </is>
      </c>
    </row>
    <row r="7">
      <c r="A7" s="16" t="inlineStr"/>
      <c r="B7" s="19" t="inlineStr">
        <is>
          <t>Main eave, left</t>
        </is>
      </c>
      <c r="C7" s="58" t="n">
        <v>18.01</v>
      </c>
      <c r="D7" s="25">
        <f>TRIM_STOCK_FT</f>
        <v/>
      </c>
      <c r="E7" s="25" t="n">
        <v>6</v>
      </c>
      <c r="F7" s="25">
        <f>IF(C7*(1+TRIM_WASTE_PCT)&lt;=D7,1,1+ROUNDUP((C7*(1+TRIM_WASTE_PCT)-D7)/(D7-E7/12),0))</f>
        <v/>
      </c>
      <c r="G7" s="23" t="n"/>
      <c r="H7" s="23" t="n"/>
      <c r="I7" s="23" t="n"/>
    </row>
    <row r="8">
      <c r="A8" s="16" t="inlineStr"/>
      <c r="B8" s="19" t="inlineStr">
        <is>
          <t>Main eave, right</t>
        </is>
      </c>
      <c r="C8" s="58" t="n">
        <v>18.01</v>
      </c>
      <c r="D8" s="25">
        <f>TRIM_STOCK_FT</f>
        <v/>
      </c>
      <c r="E8" s="25" t="n">
        <v>6</v>
      </c>
      <c r="F8" s="25">
        <f>IF(C8*(1+TRIM_WASTE_PCT)&lt;=D8,1,1+ROUNDUP((C8*(1+TRIM_WASTE_PCT)-D8)/(D8-E8/12),0))</f>
        <v/>
      </c>
      <c r="G8" s="23" t="n"/>
      <c r="H8" s="23" t="n"/>
      <c r="I8" s="23" t="n"/>
    </row>
    <row r="9">
      <c r="A9" s="16" t="inlineStr">
        <is>
          <t>Custom D-style profile — gable bearing shelf (Approach B)</t>
        </is>
      </c>
      <c r="B9" s="19" t="inlineStr">
        <is>
          <t>Front gable rake, left</t>
        </is>
      </c>
      <c r="C9" s="58" t="n">
        <v>17.03</v>
      </c>
      <c r="D9" s="25">
        <f>TRIM_STOCK_FT</f>
        <v/>
      </c>
      <c r="E9" s="25" t="n">
        <v>6</v>
      </c>
      <c r="F9" s="25">
        <f>IF(C9*(1+TRIM_WASTE_PCT)&lt;=D9,1,1+ROUNDUP((C9*(1+TRIM_WASTE_PCT)-D9)/(D9-E9/12),0))</f>
        <v/>
      </c>
      <c r="G9" s="59">
        <f>SUM(F9:F12)</f>
        <v/>
      </c>
      <c r="H9" s="25">
        <f>G9*TRIM_STOCK_FT</f>
        <v/>
      </c>
      <c r="I9" s="60" t="inlineStr">
        <is>
          <t>Same custom profile, run up the four main gable rakes as the bearing shelf for the 6-in gable overhang (contract Approach B, included in base price).</t>
        </is>
      </c>
    </row>
    <row r="10">
      <c r="A10" s="16" t="inlineStr"/>
      <c r="B10" s="19" t="inlineStr">
        <is>
          <t>Front gable rake, right</t>
        </is>
      </c>
      <c r="C10" s="58" t="n">
        <v>17</v>
      </c>
      <c r="D10" s="25">
        <f>TRIM_STOCK_FT</f>
        <v/>
      </c>
      <c r="E10" s="25" t="n">
        <v>6</v>
      </c>
      <c r="F10" s="25">
        <f>IF(C10*(1+TRIM_WASTE_PCT)&lt;=D10,1,1+ROUNDUP((C10*(1+TRIM_WASTE_PCT)-D10)/(D10-E10/12),0))</f>
        <v/>
      </c>
      <c r="G10" s="23" t="n"/>
      <c r="H10" s="23" t="n"/>
      <c r="I10" s="23" t="n"/>
    </row>
    <row r="11">
      <c r="A11" s="16" t="inlineStr"/>
      <c r="B11" s="19" t="inlineStr">
        <is>
          <t>Rear gable rake, left</t>
        </is>
      </c>
      <c r="C11" s="58" t="n">
        <v>17.03</v>
      </c>
      <c r="D11" s="25">
        <f>TRIM_STOCK_FT</f>
        <v/>
      </c>
      <c r="E11" s="25" t="n">
        <v>6</v>
      </c>
      <c r="F11" s="25">
        <f>IF(C11*(1+TRIM_WASTE_PCT)&lt;=D11,1,1+ROUNDUP((C11*(1+TRIM_WASTE_PCT)-D11)/(D11-E11/12),0))</f>
        <v/>
      </c>
      <c r="G11" s="23" t="n"/>
      <c r="H11" s="23" t="n"/>
      <c r="I11" s="23" t="n"/>
    </row>
    <row r="12">
      <c r="A12" s="16" t="inlineStr"/>
      <c r="B12" s="19" t="inlineStr">
        <is>
          <t>Rear gable rake, right</t>
        </is>
      </c>
      <c r="C12" s="58" t="n">
        <v>17</v>
      </c>
      <c r="D12" s="25">
        <f>TRIM_STOCK_FT</f>
        <v/>
      </c>
      <c r="E12" s="25" t="n">
        <v>6</v>
      </c>
      <c r="F12" s="25">
        <f>IF(C12*(1+TRIM_WASTE_PCT)&lt;=D12,1,1+ROUNDUP((C12*(1+TRIM_WASTE_PCT)-D12)/(D12-E12/12),0))</f>
        <v/>
      </c>
      <c r="G12" s="23" t="n"/>
      <c r="H12" s="23" t="n"/>
      <c r="I12" s="23" t="n"/>
    </row>
    <row r="13">
      <c r="A13" s="16" t="inlineStr">
        <is>
          <t>PBR gable / rake trim</t>
        </is>
      </c>
      <c r="B13" s="19" t="inlineStr">
        <is>
          <t>Front gable rake, left</t>
        </is>
      </c>
      <c r="C13" s="58" t="n">
        <v>17.03</v>
      </c>
      <c r="D13" s="25">
        <f>TRIM_STOCK_FT</f>
        <v/>
      </c>
      <c r="E13" s="25" t="n">
        <v>6</v>
      </c>
      <c r="F13" s="25">
        <f>IF(C13*(1+TRIM_WASTE_PCT)&lt;=D13,1,1+ROUNDUP((C13*(1+TRIM_WASTE_PCT)-D13)/(D13-E13/12),0))</f>
        <v/>
      </c>
      <c r="G13" s="59">
        <f>SUM(F13:F18)</f>
        <v/>
      </c>
      <c r="H13" s="25">
        <f>G13*TRIM_STOCK_FT</f>
        <v/>
      </c>
      <c r="I13" s="60" t="inlineStr">
        <is>
          <t>Color matched. Caps every rake, over the gable shelf at the main gables. Covers the field-rip cut edges on the porch roof and upper face.</t>
        </is>
      </c>
    </row>
    <row r="14">
      <c r="A14" s="16" t="inlineStr"/>
      <c r="B14" s="19" t="inlineStr">
        <is>
          <t>Front gable rake, right</t>
        </is>
      </c>
      <c r="C14" s="58" t="n">
        <v>17</v>
      </c>
      <c r="D14" s="25">
        <f>TRIM_STOCK_FT</f>
        <v/>
      </c>
      <c r="E14" s="25" t="n">
        <v>6</v>
      </c>
      <c r="F14" s="25">
        <f>IF(C14*(1+TRIM_WASTE_PCT)&lt;=D14,1,1+ROUNDUP((C14*(1+TRIM_WASTE_PCT)-D14)/(D14-E14/12),0))</f>
        <v/>
      </c>
      <c r="G14" s="23" t="n"/>
      <c r="H14" s="23" t="n"/>
      <c r="I14" s="23" t="n"/>
    </row>
    <row r="15">
      <c r="A15" s="16" t="inlineStr"/>
      <c r="B15" s="19" t="inlineStr">
        <is>
          <t>Rear gable rake, left</t>
        </is>
      </c>
      <c r="C15" s="58" t="n">
        <v>17.03</v>
      </c>
      <c r="D15" s="25">
        <f>TRIM_STOCK_FT</f>
        <v/>
      </c>
      <c r="E15" s="25" t="n">
        <v>6</v>
      </c>
      <c r="F15" s="25">
        <f>IF(C15*(1+TRIM_WASTE_PCT)&lt;=D15,1,1+ROUNDUP((C15*(1+TRIM_WASTE_PCT)-D15)/(D15-E15/12),0))</f>
        <v/>
      </c>
      <c r="G15" s="23" t="n"/>
      <c r="H15" s="23" t="n"/>
      <c r="I15" s="23" t="n"/>
    </row>
    <row r="16">
      <c r="A16" s="16" t="inlineStr"/>
      <c r="B16" s="19" t="inlineStr">
        <is>
          <t>Rear gable rake, right</t>
        </is>
      </c>
      <c r="C16" s="58" t="n">
        <v>17</v>
      </c>
      <c r="D16" s="25">
        <f>TRIM_STOCK_FT</f>
        <v/>
      </c>
      <c r="E16" s="25" t="n">
        <v>6</v>
      </c>
      <c r="F16" s="25">
        <f>IF(C16*(1+TRIM_WASTE_PCT)&lt;=D16,1,1+ROUNDUP((C16*(1+TRIM_WASTE_PCT)-D16)/(D16-E16/12),0))</f>
        <v/>
      </c>
      <c r="G16" s="23" t="n"/>
      <c r="H16" s="23" t="n"/>
      <c r="I16" s="23" t="n"/>
    </row>
    <row r="17">
      <c r="A17" s="16" t="inlineStr"/>
      <c r="B17" s="19" t="inlineStr">
        <is>
          <t>Front gable line, left (porch + corner)</t>
        </is>
      </c>
      <c r="C17" s="58" t="n">
        <v>11.92</v>
      </c>
      <c r="D17" s="25">
        <f>TRIM_STOCK_FT</f>
        <v/>
      </c>
      <c r="E17" s="25" t="n">
        <v>6</v>
      </c>
      <c r="F17" s="25">
        <f>IF(C17*(1+TRIM_WASTE_PCT)&lt;=D17,1,1+ROUNDUP((C17*(1+TRIM_WASTE_PCT)-D17)/(D17-E17/12),0))</f>
        <v/>
      </c>
      <c r="G17" s="23" t="n"/>
      <c r="H17" s="23" t="n"/>
      <c r="I17" s="23" t="n"/>
    </row>
    <row r="18">
      <c r="A18" s="16" t="inlineStr"/>
      <c r="B18" s="19" t="inlineStr">
        <is>
          <t>Front gable line, right (porch + corner)</t>
        </is>
      </c>
      <c r="C18" s="58" t="n">
        <v>11.91</v>
      </c>
      <c r="D18" s="25">
        <f>TRIM_STOCK_FT</f>
        <v/>
      </c>
      <c r="E18" s="25" t="n">
        <v>6</v>
      </c>
      <c r="F18" s="25">
        <f>IF(C18*(1+TRIM_WASTE_PCT)&lt;=D18,1,1+ROUNDUP((C18*(1+TRIM_WASTE_PCT)-D18)/(D18-E18/12),0))</f>
        <v/>
      </c>
      <c r="G18" s="23" t="n"/>
      <c r="H18" s="23" t="n"/>
      <c r="I18" s="23" t="n"/>
    </row>
    <row r="19">
      <c r="A19" s="16" t="inlineStr">
        <is>
          <t>Vented ridge cap</t>
        </is>
      </c>
      <c r="B19" s="19" t="inlineStr">
        <is>
          <t>Main ridge (field-verified 21'-6")</t>
        </is>
      </c>
      <c r="C19" s="58" t="n">
        <v>21.5</v>
      </c>
      <c r="D19" s="25">
        <f>TRIM_STOCK_FT</f>
        <v/>
      </c>
      <c r="E19" s="25" t="n">
        <v>6</v>
      </c>
      <c r="F19" s="25">
        <f>IF(C19*(1+TRIM_WASTE_PCT)&lt;=D19,1,1+ROUNDUP((C19*(1+TRIM_WASTE_PCT)-D19)/(D19-E19/12),0))</f>
        <v/>
      </c>
      <c r="G19" s="59">
        <f>SUM(F19:F21)</f>
        <v/>
      </c>
      <c r="H19" s="25">
        <f>G19*TRIM_STOCK_FT</f>
        <v/>
      </c>
      <c r="I19" s="60" t="inlineStr">
        <is>
          <t>Vented at the 21'-6" main ridge; the two 8'-2" corner ridges cap SOLID (no vent). NFA on the acknowledgment (A7).</t>
        </is>
      </c>
    </row>
    <row r="20">
      <c r="A20" s="16" t="inlineStr"/>
      <c r="B20" s="19" t="inlineStr">
        <is>
          <t>Front corner ridge, left</t>
        </is>
      </c>
      <c r="C20" s="58" t="n">
        <v>8.210000000000001</v>
      </c>
      <c r="D20" s="25">
        <f>TRIM_STOCK_FT</f>
        <v/>
      </c>
      <c r="E20" s="25" t="n">
        <v>6</v>
      </c>
      <c r="F20" s="25">
        <f>IF(C20*(1+TRIM_WASTE_PCT)&lt;=D20,1,1+ROUNDUP((C20*(1+TRIM_WASTE_PCT)-D20)/(D20-E20/12),0))</f>
        <v/>
      </c>
      <c r="G20" s="23" t="n"/>
      <c r="H20" s="23" t="n"/>
      <c r="I20" s="23" t="n"/>
    </row>
    <row r="21">
      <c r="A21" s="16" t="inlineStr"/>
      <c r="B21" s="19" t="inlineStr">
        <is>
          <t>Front corner ridge, right</t>
        </is>
      </c>
      <c r="C21" s="58" t="n">
        <v>8.210000000000001</v>
      </c>
      <c r="D21" s="25">
        <f>TRIM_STOCK_FT</f>
        <v/>
      </c>
      <c r="E21" s="25" t="n">
        <v>6</v>
      </c>
      <c r="F21" s="25">
        <f>IF(C21*(1+TRIM_WASTE_PCT)&lt;=D21,1,1+ROUNDUP((C21*(1+TRIM_WASTE_PCT)-D21)/(D21-E21/12),0))</f>
        <v/>
      </c>
      <c r="G21" s="23" t="n"/>
      <c r="H21" s="23" t="n"/>
      <c r="I21" s="23" t="n"/>
    </row>
    <row r="22">
      <c r="A22" s="16" t="inlineStr">
        <is>
          <t>Hip cap</t>
        </is>
      </c>
      <c r="B22" s="19" t="inlineStr">
        <is>
          <t>Upper-face hip, left</t>
        </is>
      </c>
      <c r="C22" s="58" t="n">
        <v>8.67</v>
      </c>
      <c r="D22" s="25">
        <f>TRIM_STOCK_FT</f>
        <v/>
      </c>
      <c r="E22" s="25" t="n">
        <v>6</v>
      </c>
      <c r="F22" s="25">
        <f>IF(C22*(1+TRIM_WASTE_PCT)&lt;=D22,1,1+ROUNDUP((C22*(1+TRIM_WASTE_PCT)-D22)/(D22-E22/12),0))</f>
        <v/>
      </c>
      <c r="G22" s="59">
        <f>SUM(F22:F23)</f>
        <v/>
      </c>
      <c r="H22" s="25">
        <f>G22*TRIM_STOCK_FT</f>
        <v/>
      </c>
      <c r="I22" s="60" t="inlineStr">
        <is>
          <t>Color matched. Non-vented.</t>
        </is>
      </c>
    </row>
    <row r="23">
      <c r="A23" s="16" t="inlineStr"/>
      <c r="B23" s="19" t="inlineStr">
        <is>
          <t>Upper-face hip, right</t>
        </is>
      </c>
      <c r="C23" s="58" t="n">
        <v>8.67</v>
      </c>
      <c r="D23" s="25">
        <f>TRIM_STOCK_FT</f>
        <v/>
      </c>
      <c r="E23" s="25" t="n">
        <v>6</v>
      </c>
      <c r="F23" s="25">
        <f>IF(C23*(1+TRIM_WASTE_PCT)&lt;=D23,1,1+ROUNDUP((C23*(1+TRIM_WASTE_PCT)-D23)/(D23-E23/12),0))</f>
        <v/>
      </c>
      <c r="G23" s="23" t="n"/>
      <c r="H23" s="23" t="n"/>
      <c r="I23" s="23" t="n"/>
    </row>
    <row r="24">
      <c r="A24" s="16" t="inlineStr">
        <is>
          <t>Ibex 02B Jumbo Valley (W-valley)</t>
        </is>
      </c>
      <c r="B24" s="19" t="inlineStr">
        <is>
          <t>Valley, left</t>
        </is>
      </c>
      <c r="C24" s="58" t="n">
        <v>13.38</v>
      </c>
      <c r="D24" s="25">
        <f>TRIM_STOCK_FT</f>
        <v/>
      </c>
      <c r="E24" s="25" t="n">
        <v>12</v>
      </c>
      <c r="F24" s="25">
        <f>IF(C24*(1+TRIM_WASTE_PCT)&lt;=D24,1,1+ROUNDUP((C24*(1+TRIM_WASTE_PCT)-D24)/(D24-E24/12),0))</f>
        <v/>
      </c>
      <c r="G24" s="59">
        <f>SUM(F24:F25)</f>
        <v/>
      </c>
      <c r="H24" s="25">
        <f>G24*TRIM_STOCK_FT</f>
        <v/>
      </c>
      <c r="I24" s="60" t="inlineStr">
        <is>
          <t>Center diverter; 12-in minimum lap; butyl both sides of the diverter.</t>
        </is>
      </c>
    </row>
    <row r="25">
      <c r="A25" s="16" t="inlineStr"/>
      <c r="B25" s="19" t="inlineStr">
        <is>
          <t>Valley, right</t>
        </is>
      </c>
      <c r="C25" s="58" t="n">
        <v>13.38</v>
      </c>
      <c r="D25" s="25">
        <f>TRIM_STOCK_FT</f>
        <v/>
      </c>
      <c r="E25" s="25" t="n">
        <v>12</v>
      </c>
      <c r="F25" s="25">
        <f>IF(C25*(1+TRIM_WASTE_PCT)&lt;=D25,1,1+ROUNDUP((C25*(1+TRIM_WASTE_PCT)-D25)/(D25-E25/12),0))</f>
        <v/>
      </c>
      <c r="G25" s="23" t="n"/>
      <c r="H25" s="23" t="n"/>
      <c r="I25" s="23" t="n"/>
    </row>
    <row r="26">
      <c r="A26" s="16" t="inlineStr">
        <is>
          <t>Ibex 04B Jumbo Pitch Break</t>
        </is>
      </c>
      <c r="B26" s="19" t="inlineStr">
        <is>
          <t>Porch / upper-face transition</t>
        </is>
      </c>
      <c r="C26" s="58" t="n">
        <v>28.08</v>
      </c>
      <c r="D26" s="25">
        <f>TRIM_STOCK_FT</f>
        <v/>
      </c>
      <c r="E26" s="25" t="n">
        <v>6</v>
      </c>
      <c r="F26" s="25">
        <f>IF(C26*(1+TRIM_WASTE_PCT)&lt;=D26,1,1+ROUNDUP((C26*(1+TRIM_WASTE_PCT)-D26)/(D26-E26/12),0))</f>
        <v/>
      </c>
      <c r="G26" s="59">
        <f>SUM(F26:F26)</f>
        <v/>
      </c>
      <c r="H26" s="25">
        <f>G26*TRIM_STOCK_FT</f>
        <v/>
      </c>
      <c r="I26" s="60" t="inlineStr">
        <is>
          <t>Transition trim between the porch (4/12) and the upper face (11/12). Angle on the order (A6); field template supplied before forming.</t>
        </is>
      </c>
    </row>
    <row r="27">
      <c r="A27" s="16" t="inlineStr">
        <is>
          <t>PBR rat guard / eave closure</t>
        </is>
      </c>
      <c r="B27" s="19" t="inlineStr">
        <is>
          <t>Porch front eave</t>
        </is>
      </c>
      <c r="C27" s="58" t="n">
        <v>28.06</v>
      </c>
      <c r="D27" s="25">
        <f>TRIM_STOCK_FT</f>
        <v/>
      </c>
      <c r="E27" s="25" t="n">
        <v>0</v>
      </c>
      <c r="F27" s="25">
        <f>IF(C27*(1+TRIM_WASTE_PCT)&lt;=D27,1,1+ROUNDUP((C27*(1+TRIM_WASTE_PCT)-D27)/(D27-E27/12),0))</f>
        <v/>
      </c>
      <c r="G27" s="59">
        <f>SUM(F27:F29)</f>
        <v/>
      </c>
      <c r="H27" s="25">
        <f>G27*TRIM_STOCK_FT</f>
        <v/>
      </c>
      <c r="I27" s="60" t="inlineStr">
        <is>
          <t>Color matched / profile matched. Butt joints, no lap.</t>
        </is>
      </c>
    </row>
    <row r="28">
      <c r="A28" s="16" t="inlineStr"/>
      <c r="B28" s="19" t="inlineStr">
        <is>
          <t>Main eave, left</t>
        </is>
      </c>
      <c r="C28" s="58" t="n">
        <v>18.01</v>
      </c>
      <c r="D28" s="25">
        <f>TRIM_STOCK_FT</f>
        <v/>
      </c>
      <c r="E28" s="25" t="n">
        <v>0</v>
      </c>
      <c r="F28" s="25">
        <f>IF(C28*(1+TRIM_WASTE_PCT)&lt;=D28,1,1+ROUNDUP((C28*(1+TRIM_WASTE_PCT)-D28)/(D28-E28/12),0))</f>
        <v/>
      </c>
      <c r="G28" s="23" t="n"/>
      <c r="H28" s="23" t="n"/>
      <c r="I28" s="23" t="n"/>
    </row>
    <row r="29">
      <c r="A29" s="16" t="inlineStr"/>
      <c r="B29" s="19" t="inlineStr">
        <is>
          <t>Main eave, right</t>
        </is>
      </c>
      <c r="C29" s="58" t="n">
        <v>18.01</v>
      </c>
      <c r="D29" s="25">
        <f>TRIM_STOCK_FT</f>
        <v/>
      </c>
      <c r="E29" s="25" t="n">
        <v>0</v>
      </c>
      <c r="F29" s="25">
        <f>IF(C29*(1+TRIM_WASTE_PCT)&lt;=D29,1,1+ROUNDUP((C29*(1+TRIM_WASTE_PCT)-D29)/(D29-E29/12),0))</f>
        <v/>
      </c>
      <c r="G29" s="23" t="n"/>
      <c r="H29" s="23" t="n"/>
      <c r="I29" s="23" t="n"/>
    </row>
    <row r="30">
      <c r="A30" s="47" t="inlineStr">
        <is>
          <t>TOTAL TRIM</t>
        </is>
      </c>
      <c r="B30" s="47" t="n"/>
      <c r="C30" s="48">
        <f>SUM(C6:C29)</f>
        <v/>
      </c>
      <c r="D30" s="47" t="n"/>
      <c r="E30" s="47" t="n"/>
      <c r="F30" s="50">
        <f>SUM(F6:F29)</f>
        <v/>
      </c>
      <c r="G30" s="50">
        <f>SUM(G6:G29)</f>
        <v/>
      </c>
      <c r="H30" s="50">
        <f>G30*TRIM_STOCK_FT</f>
        <v/>
      </c>
      <c r="I30" s="47" t="n"/>
    </row>
    <row r="32" ht="20" customHeight="1">
      <c r="A32" s="6" t="inlineStr">
        <is>
          <t>ACCESSORIES — every quantity is a published formula</t>
        </is>
      </c>
    </row>
    <row r="33" ht="28" customHeight="1">
      <c r="A33" s="7" t="inlineStr">
        <is>
          <t>Item</t>
        </is>
      </c>
      <c r="B33" s="7" t="inlineStr">
        <is>
          <t>Quantity</t>
        </is>
      </c>
      <c r="C33" s="7" t="inlineStr">
        <is>
          <t>Unit</t>
        </is>
      </c>
      <c r="D33" s="7" t="inlineStr"/>
      <c r="E33" s="7" t="inlineStr"/>
      <c r="F33" s="7" t="inlineStr"/>
      <c r="G33" s="7" t="inlineStr"/>
      <c r="H33" s="7" t="inlineStr">
        <is>
          <t>Flag</t>
        </is>
      </c>
      <c r="I33" s="7" t="inlineStr">
        <is>
          <t>Derivation</t>
        </is>
      </c>
    </row>
    <row r="34" ht="30" customHeight="1">
      <c r="A34" s="16" t="inlineStr">
        <is>
          <t>Woodgrip panel screws, EPDM washer, painted head</t>
        </is>
      </c>
      <c r="B34" s="61">
        <f>ROUNDUP((SUMPRODUCT(FLOOR('Panel Cut List'!$P$6:$P$51,FASTENER_ROW_IN)/FASTENER_ROW_IN+1)*SCREWS_PER_ROW+COUNTIF('Panel Cut List'!$J$6:$J$51,"Y")*SCREWS_PER_ROW+SUMPRODUCT(--ISNUMBER(SEARCH("ridges",'Panel Cut List'!$V$6:$V$51)))*SCREWS_PER_ROW)*(1+FASTENER_WASTE_PCT)/50,0)*50</f>
        <v/>
      </c>
      <c r="C34" s="19" t="inlineStr">
        <is>
          <t>ea</t>
        </is>
      </c>
      <c r="D34" s="23" t="n"/>
      <c r="E34" s="23" t="n"/>
      <c r="F34" s="23" t="n"/>
      <c r="G34" s="23" t="n"/>
      <c r="H34" s="62" t="inlineStr">
        <is>
          <t>Spec on acknowledgment (A2); quantity has headroom to a 16 in o.c. pattern</t>
        </is>
      </c>
      <c r="I34" s="60" t="inlineStr">
        <is>
          <t>Σ per panel: FLOOR(order length ÷ 24 in)+1 rows × 4 + doubled eave/ridge rows = 1416 ea; +10%, rounded up to 50</t>
        </is>
      </c>
    </row>
    <row r="35" ht="30" customHeight="1">
      <c r="A35" s="16" t="inlineStr">
        <is>
          <t>Stitch screws, EPDM washer, colour matched</t>
        </is>
      </c>
      <c r="B35" s="61">
        <f>ROUNDUP((638)*(1+FASTENER_WASTE_PCT)/50,0)*50</f>
        <v/>
      </c>
      <c r="C35" s="19" t="inlineStr">
        <is>
          <t>ea</t>
        </is>
      </c>
      <c r="D35" s="23" t="n"/>
      <c r="E35" s="23" t="n"/>
      <c r="F35" s="23" t="n"/>
      <c r="G35" s="23" t="n"/>
      <c r="H35" s="62" t="inlineStr"/>
      <c r="I35" s="60" t="inlineStr">
        <is>
          <t>panel side laps 473 LF + trim laps, at 12 in o.c. = 638 ea; +10%, rounded up to 50</t>
        </is>
      </c>
    </row>
    <row r="36" ht="30" customHeight="1">
      <c r="A36" s="16" t="inlineStr">
        <is>
          <t>Pancake-head wood screws — valley flashing</t>
        </is>
      </c>
      <c r="B36" s="61">
        <f>ROUNDUP(26.75*2/4/25,0)*25</f>
        <v/>
      </c>
      <c r="C36" s="19" t="inlineStr">
        <is>
          <t>ea</t>
        </is>
      </c>
      <c r="D36" s="23" t="n"/>
      <c r="E36" s="23" t="n"/>
      <c r="F36" s="23" t="n"/>
      <c r="G36" s="23" t="n"/>
      <c r="H36" s="62" t="inlineStr">
        <is>
          <t>No fastener may pass through a valley lap</t>
        </is>
      </c>
      <c r="I36" s="60" t="inlineStr">
        <is>
          <t>valley 26.75 LF, both sides, at 4 ft o.c. (Metal Sales PBR guide), rounded up to 25</t>
        </is>
      </c>
    </row>
    <row r="37" ht="30" customHeight="1">
      <c r="A37" s="16" t="inlineStr">
        <is>
          <t>Rigid outside closure — PBR profile</t>
        </is>
      </c>
      <c r="B37" s="61">
        <f>ROUNDUP((17.33+28.08)/10,0)*10</f>
        <v/>
      </c>
      <c r="C37" s="19" t="inlineStr">
        <is>
          <t>LF</t>
        </is>
      </c>
      <c r="D37" s="23" t="n"/>
      <c r="E37" s="23" t="n"/>
      <c r="F37" s="23" t="n"/>
      <c r="G37" s="23" t="n"/>
      <c r="H37" s="62" t="inlineStr"/>
      <c r="I37" s="60" t="inlineStr">
        <is>
          <t>hip 17.33 + pitch break 28.08 + solid corner ridges 16.42 LF, rounded up to 10. The MAIN ridge is not included — Ibex detail G treats the ridge vent as the substitute there</t>
        </is>
      </c>
    </row>
    <row r="38" ht="30" customHeight="1">
      <c r="A38" s="16" t="inlineStr">
        <is>
          <t>Inside foam closure — PBR profile</t>
        </is>
      </c>
      <c r="B38" s="61">
        <f>ROUNDUP((64.08+28.08)/10,0)*10</f>
        <v/>
      </c>
      <c r="C38" s="19" t="inlineStr">
        <is>
          <t>LF</t>
        </is>
      </c>
      <c r="D38" s="23" t="n"/>
      <c r="E38" s="23" t="n"/>
      <c r="F38" s="23" t="n"/>
      <c r="G38" s="23" t="n"/>
      <c r="H38" s="62" t="inlineStr"/>
      <c r="I38" s="60" t="inlineStr">
        <is>
          <t>eave 64.08 (Ibex detail A) + pitch break 28.08 LF (Ibex detail F requires BOTH an inside and an outside closure at a transition), rounded up to 10</t>
        </is>
      </c>
    </row>
    <row r="39" ht="30" customHeight="1">
      <c r="A39" s="16" t="inlineStr">
        <is>
          <t>Universal expanding closure — valleys</t>
        </is>
      </c>
      <c r="B39" s="61">
        <f>ROUNDUP((26.75*2)/10,0)*10</f>
        <v/>
      </c>
      <c r="C39" s="19" t="inlineStr">
        <is>
          <t>LF</t>
        </is>
      </c>
      <c r="D39" s="23" t="n"/>
      <c r="E39" s="23" t="n"/>
      <c r="F39" s="23" t="n"/>
      <c r="G39" s="23" t="n"/>
      <c r="H39" s="62" t="inlineStr"/>
      <c r="I39" s="60" t="inlineStr">
        <is>
          <t>both sides of 26.75 LF valley = 53.50 LF, rounded up to 10. A die-cut profiled closure will not fit a raked panel cut — use the continuous 1 in × 1-1/2 in roll (Ibex specifies EMSEAL expanding tape here)</t>
        </is>
      </c>
    </row>
    <row r="40" ht="30" customHeight="1">
      <c r="A40" s="16" t="inlineStr">
        <is>
          <t>Vented ridge closure material</t>
        </is>
      </c>
      <c r="B40" s="61">
        <f>ROUNDUP(37.92/10,0)*10</f>
        <v/>
      </c>
      <c r="C40" s="19" t="inlineStr">
        <is>
          <t>LF</t>
        </is>
      </c>
      <c r="D40" s="23" t="n"/>
      <c r="E40" s="23" t="n"/>
      <c r="F40" s="23" t="n"/>
      <c r="G40" s="23" t="n"/>
      <c r="H40" s="62" t="inlineStr">
        <is>
          <t>Vent NFA on acknowledgment (A7); intake balance documented at install</t>
        </is>
      </c>
      <c r="I40" s="60" t="inlineStr">
        <is>
          <t>MAIN ridge only, 21.50 LF (field-verified 21'-6"), rounded up to 10. Corner ridges cap solid. Sits between two rows of butyl, under the ridge cap, in place of an outside closure</t>
        </is>
      </c>
    </row>
    <row r="41" ht="30" customHeight="1">
      <c r="A41" s="16" t="inlineStr">
        <is>
          <t>Butyl sealant tape, 1 in</t>
        </is>
      </c>
      <c r="B41" s="61">
        <f>ROUNDUP((472.75+26.75*2+28.08*2+37.92*2+64.08)/50,0)</f>
        <v/>
      </c>
      <c r="C41" s="19" t="inlineStr">
        <is>
          <t>50-ft rolls</t>
        </is>
      </c>
      <c r="D41" s="23" t="n"/>
      <c r="E41" s="23" t="n"/>
      <c r="F41" s="23" t="n"/>
      <c r="G41" s="23" t="n"/>
      <c r="H41" s="62" t="inlineStr">
        <is>
          <t>Carried on the strict reading — Metal Sales requires side-lap butyl on all roofs</t>
        </is>
      </c>
      <c r="I41" s="60" t="inlineStr">
        <is>
          <t>side laps 473 + valley 2× 54 + pitch break 2× 56 + ridge 2 rows 76 + eave 64 LF ÷ 50 ft, rounded up</t>
        </is>
      </c>
    </row>
    <row r="42" ht="30" customHeight="1">
      <c r="A42" s="16" t="inlineStr">
        <is>
          <t>Colour-matched touch-up, brush applicator</t>
        </is>
      </c>
      <c r="B42" s="61">
        <f>1</f>
        <v/>
      </c>
      <c r="C42" s="19" t="inlineStr">
        <is>
          <t>kit</t>
        </is>
      </c>
      <c r="D42" s="23" t="n"/>
      <c r="E42" s="23" t="n"/>
      <c r="F42" s="23" t="n"/>
      <c r="G42" s="23" t="n"/>
      <c r="H42" s="62" t="inlineStr">
        <is>
          <t>NOT for cut edges — see the field-cutting rules</t>
        </is>
      </c>
      <c r="I42" s="60" t="inlineStr">
        <is>
          <t>handling scratches and nicks only</t>
        </is>
      </c>
    </row>
    <row r="44" ht="20" customHeight="1">
      <c r="A44" s="6" t="inlineStr">
        <is>
          <t>SETTLED FIELD RULES — consistent across every source reviewed</t>
        </is>
      </c>
    </row>
    <row r="45" ht="28" customHeight="1">
      <c r="A45" s="7" t="inlineStr">
        <is>
          <t>Rule</t>
        </is>
      </c>
      <c r="B45" s="7" t="inlineStr">
        <is>
          <t>Requirement</t>
        </is>
      </c>
      <c r="C45" s="7" t="inlineStr"/>
      <c r="D45" s="7" t="inlineStr"/>
      <c r="E45" s="7" t="inlineStr"/>
      <c r="F45" s="7" t="inlineStr"/>
      <c r="G45" s="7" t="inlineStr"/>
      <c r="H45" s="7" t="inlineStr"/>
      <c r="I45" s="7" t="inlineStr"/>
    </row>
    <row r="46" ht="30" customHeight="1">
      <c r="A46" s="24" t="inlineStr">
        <is>
          <t>Cutting</t>
        </is>
      </c>
      <c r="B46" s="60" t="inlineStr">
        <is>
          <t>Shear-type tools only — power shears, nibblers or snips. No abrasive blade, no circular saw, no reciprocating saw. Heat-generating cuts exceed the melting point of the metallic coating and strip it from the edge (MCA; ASC; MBCI). Power shears are the correct tool for a rip parallel to the ribs.</t>
        </is>
      </c>
      <c r="C46" s="23" t="n"/>
      <c r="D46" s="23" t="n"/>
      <c r="E46" s="23" t="n"/>
      <c r="F46" s="23" t="n"/>
      <c r="G46" s="23" t="n"/>
      <c r="H46" s="23" t="n"/>
      <c r="I46" s="23" t="n"/>
    </row>
    <row r="47" ht="30" customHeight="1">
      <c r="A47" s="24" t="inlineStr">
        <is>
          <t>Cut edges</t>
        </is>
      </c>
      <c r="B47" s="60" t="inlineStr">
        <is>
          <t>A cleanly sheared edge needs no coating — the metallic coating is sacrificial and self-heals galvanically at the cut. Do not paint cut edges. Touch-up is for handling scratches only and weathers faster than the factory finish (Metal Sales; AEP Span).</t>
        </is>
      </c>
      <c r="C47" s="23" t="n"/>
      <c r="D47" s="23" t="n"/>
      <c r="E47" s="23" t="n"/>
      <c r="F47" s="23" t="n"/>
      <c r="G47" s="23" t="n"/>
      <c r="H47" s="23" t="n"/>
      <c r="I47" s="23" t="n"/>
    </row>
    <row r="48" ht="30" customHeight="1">
      <c r="A48" s="24" t="inlineStr">
        <is>
          <t>Swarf</t>
        </is>
      </c>
      <c r="B48" s="60" t="inlineStr">
        <is>
          <t>Cut on the ground, face down, never over installed panels; brush all swarf off. Swarf left on a panel voids the finish warranty (Metal Sales; MBCI).</t>
        </is>
      </c>
      <c r="C48" s="23" t="n"/>
      <c r="D48" s="23" t="n"/>
      <c r="E48" s="23" t="n"/>
      <c r="F48" s="23" t="n"/>
      <c r="G48" s="23" t="n"/>
      <c r="H48" s="23" t="n"/>
      <c r="I48" s="23" t="n"/>
    </row>
    <row r="49" ht="30" customHeight="1">
      <c r="A49" s="24" t="inlineStr">
        <is>
          <t>Marking</t>
        </is>
      </c>
      <c r="B49" s="60" t="inlineStr">
        <is>
          <t>Felt-tip marker only. Do not mark cut lines with a lead pencil — the carbon promotes corrosion (ASC).</t>
        </is>
      </c>
      <c r="C49" s="23" t="n"/>
      <c r="D49" s="23" t="n"/>
      <c r="E49" s="23" t="n"/>
      <c r="F49" s="23" t="n"/>
      <c r="G49" s="23" t="n"/>
      <c r="H49" s="23" t="n"/>
      <c r="I49" s="23" t="n"/>
    </row>
    <row r="50" ht="30" customHeight="1">
      <c r="A50" s="24" t="inlineStr">
        <is>
          <t>Side-lap hand</t>
        </is>
      </c>
      <c r="B50" s="60" t="inlineStr">
        <is>
          <t>The shorter lap rib goes on TOP, the bearing rib underneath, with the open side of the lap facing AWAY from the prevailing wind (Ibex, first party). PBR is asymmetric — this fixes which rake can be the starting rake once the wind direction is chosen.</t>
        </is>
      </c>
      <c r="C50" s="23" t="n"/>
      <c r="D50" s="23" t="n"/>
      <c r="E50" s="23" t="n"/>
      <c r="F50" s="23" t="n"/>
      <c r="G50" s="23" t="n"/>
      <c r="H50" s="23" t="n"/>
      <c r="I50" s="23" t="n"/>
    </row>
    <row r="51" ht="30" customHeight="1">
      <c r="A51" s="24" t="inlineStr">
        <is>
          <t>Starting rake</t>
        </is>
      </c>
      <c r="B51" s="60" t="inlineStr">
        <is>
          <t>Begin at the downwind rake so wind, rain and snow blow over the side lap rather than under it (MCA Ch.16).</t>
        </is>
      </c>
      <c r="C51" s="23" t="n"/>
      <c r="D51" s="23" t="n"/>
      <c r="E51" s="23" t="n"/>
      <c r="F51" s="23" t="n"/>
      <c r="G51" s="23" t="n"/>
      <c r="H51" s="23" t="n"/>
      <c r="I51" s="23" t="n"/>
    </row>
    <row r="52" ht="30" customHeight="1">
      <c r="A52" s="24" t="inlineStr">
        <is>
          <t>Valley cut</t>
        </is>
      </c>
      <c r="B52" s="60" t="inlineStr">
        <is>
          <t>Field-cut panels on a chalk line 3 in back from the valley centreline each side — a 6 in open channel minimum before any snow/ice widening (Metal Sales; Best Buy).</t>
        </is>
      </c>
      <c r="C52" s="23" t="n"/>
      <c r="D52" s="23" t="n"/>
      <c r="E52" s="23" t="n"/>
      <c r="F52" s="23" t="n"/>
      <c r="G52" s="23" t="n"/>
      <c r="H52" s="23" t="n"/>
      <c r="I52" s="23" t="n"/>
    </row>
    <row r="53" ht="30" customHeight="1">
      <c r="A53" s="24" t="inlineStr">
        <is>
          <t>Valley fastening</t>
        </is>
      </c>
      <c r="B53" s="60" t="inlineStr">
        <is>
          <t>Fasten valley flashing only at its outer edges, pancake-head screws at 4 ft o.c. each side. No fastener through a valley lap (Metal Sales).</t>
        </is>
      </c>
      <c r="C53" s="23" t="n"/>
      <c r="D53" s="23" t="n"/>
      <c r="E53" s="23" t="n"/>
      <c r="F53" s="23" t="n"/>
      <c r="G53" s="23" t="n"/>
      <c r="H53" s="23" t="n"/>
      <c r="I53" s="23" t="n"/>
    </row>
    <row r="54" ht="30" customHeight="1">
      <c r="A54" s="24" t="inlineStr">
        <is>
          <t>Vented ridge</t>
        </is>
      </c>
      <c r="B54" s="60" t="inlineStr">
        <is>
          <t>End fasteners must land up-slope of the vent material so the screw does not penetrate the open vent channel (Metal Sales).</t>
        </is>
      </c>
      <c r="C54" s="23" t="n"/>
      <c r="D54" s="23" t="n"/>
      <c r="E54" s="23" t="n"/>
      <c r="F54" s="23" t="n"/>
      <c r="G54" s="23" t="n"/>
      <c r="H54" s="23" t="n"/>
      <c r="I54" s="23" t="n"/>
    </row>
    <row r="55" ht="30" customHeight="1">
      <c r="A55" s="24" t="inlineStr">
        <is>
          <t>Underlayment</t>
        </is>
      </c>
      <c r="B55" s="60" t="inlineStr">
        <is>
          <t>Ibex requires an approved HIGH-TEMPERATURE underlayment under PBR. This job runs Malarkey 401 SA self-adhered full-deck (contract scope) — high-temp rated; verified.</t>
        </is>
      </c>
      <c r="C55" s="23" t="n"/>
      <c r="D55" s="23" t="n"/>
      <c r="E55" s="23" t="n"/>
      <c r="F55" s="23" t="n"/>
      <c r="G55" s="23" t="n"/>
      <c r="H55" s="23" t="n"/>
      <c r="I55" s="23" t="n"/>
    </row>
  </sheetData>
  <mergeCells count="23">
    <mergeCell ref="D39:G39"/>
    <mergeCell ref="B47:I47"/>
    <mergeCell ref="B54:I54"/>
    <mergeCell ref="A3:I3"/>
    <mergeCell ref="B46:I46"/>
    <mergeCell ref="D42:G42"/>
    <mergeCell ref="D38:G38"/>
    <mergeCell ref="B52:I52"/>
    <mergeCell ref="B48:I48"/>
    <mergeCell ref="D35:G35"/>
    <mergeCell ref="A32:I32"/>
    <mergeCell ref="A1:I2"/>
    <mergeCell ref="D34:G34"/>
    <mergeCell ref="D40:G40"/>
    <mergeCell ref="B53:I53"/>
    <mergeCell ref="D36:G36"/>
    <mergeCell ref="A44:I44"/>
    <mergeCell ref="B49:I49"/>
    <mergeCell ref="D41:G41"/>
    <mergeCell ref="B55:I55"/>
    <mergeCell ref="B51:I51"/>
    <mergeCell ref="D37:G37"/>
    <mergeCell ref="B50:I50"/>
  </mergeCells>
  <printOptions horizontalCentered="1"/>
  <pageMargins left="0.35" right="0.35" top="0.45" bottom="0.45" header="0.5" footer="0.5"/>
  <pageSetup orientation="landscape" paperSize="1" fitToHeight="0" fitToWidth="1"/>
</worksheet>
</file>

<file path=xl/worksheets/sheet7.xml><?xml version="1.0" encoding="utf-8"?>
<worksheet xmlns="http://schemas.openxmlformats.org/spreadsheetml/2006/main">
  <sheetPr>
    <outlinePr summaryBelow="1" summaryRight="1"/>
    <pageSetUpPr fitToPage="1"/>
  </sheetPr>
  <dimension ref="A1:G34"/>
  <sheetViews>
    <sheetView workbookViewId="0">
      <selection activeCell="A1" sqref="A1"/>
    </sheetView>
  </sheetViews>
  <sheetFormatPr baseColWidth="8" defaultRowHeight="15"/>
  <cols>
    <col width="30" customWidth="1" min="1" max="1"/>
    <col width="14" customWidth="1" min="2" max="2"/>
    <col width="10" customWidth="1" min="3" max="3"/>
    <col width="16" customWidth="1" min="4" max="4"/>
    <col width="16" customWidth="1" min="5" max="5"/>
    <col width="16" customWidth="1" min="6" max="6"/>
    <col width="60" customWidth="1" min="7" max="7"/>
  </cols>
  <sheetData>
    <row r="1" ht="24" customHeight="1">
      <c r="A1" s="1" t="inlineStr">
        <is>
          <t>CUSTOM OVERSIZED D-STYLE EAVE / DRIP EDGE — KR-COL-ED-01 REV B</t>
        </is>
      </c>
      <c r="B1" s="2" t="n"/>
      <c r="C1" s="2" t="n"/>
      <c r="D1" s="2" t="n"/>
      <c r="E1" s="2" t="n"/>
      <c r="F1" s="2" t="n"/>
      <c r="G1" s="2" t="n"/>
    </row>
    <row r="2" ht="16" customHeight="1">
      <c r="A2" s="2" t="n"/>
      <c r="B2" s="2" t="n"/>
      <c r="C2" s="2" t="n"/>
      <c r="D2" s="2" t="n"/>
      <c r="E2" s="2" t="n"/>
      <c r="F2" s="2" t="n"/>
      <c r="G2" s="2" t="n"/>
    </row>
    <row r="3" ht="15" customHeight="1">
      <c r="A3" s="3" t="inlineStr">
        <is>
          <t>24 ga prefinished PVDF steel • Medium Bronze • fabricate to the profile drawing in the PDF packet</t>
        </is>
      </c>
    </row>
    <row r="5" ht="20" customHeight="1">
      <c r="A5" s="6" t="inlineStr">
        <is>
          <t>FINISHED PROFILE</t>
        </is>
      </c>
    </row>
    <row r="6" ht="28" customHeight="1">
      <c r="A6" s="7" t="inlineStr">
        <is>
          <t>Element</t>
        </is>
      </c>
      <c r="B6" s="7" t="inlineStr">
        <is>
          <t>Dimension in</t>
        </is>
      </c>
      <c r="C6" s="7" t="inlineStr"/>
      <c r="D6" s="7" t="inlineStr"/>
      <c r="E6" s="7" t="inlineStr"/>
      <c r="F6" s="7" t="inlineStr"/>
      <c r="G6" s="7" t="inlineStr">
        <is>
          <t>Note</t>
        </is>
      </c>
    </row>
    <row r="7">
      <c r="A7" s="8" t="inlineStr">
        <is>
          <t>Roof flange</t>
        </is>
      </c>
      <c r="B7" s="63" t="n">
        <v>6</v>
      </c>
      <c r="G7" s="10" t="inlineStr">
        <is>
          <t>Lies on the roof plane, under the panel.</t>
        </is>
      </c>
    </row>
    <row r="8">
      <c r="A8" s="8" t="inlineStr">
        <is>
          <t>Face / fascia leg</t>
        </is>
      </c>
      <c r="B8" s="63" t="n">
        <v>3.25</v>
      </c>
      <c r="G8" s="10" t="inlineStr">
        <is>
          <t>Plumb. Covers the existing fascia line.</t>
        </is>
      </c>
    </row>
    <row r="9">
      <c r="A9" s="8" t="inlineStr">
        <is>
          <t>Kick</t>
        </is>
      </c>
      <c r="B9" s="63" t="n">
        <v>0.625</v>
      </c>
      <c r="G9" s="10" t="inlineStr">
        <is>
          <t>Throws water clear of the fascia.</t>
        </is>
      </c>
    </row>
    <row r="10">
      <c r="A10" s="8" t="inlineStr">
        <is>
          <t>Closed hem</t>
        </is>
      </c>
      <c r="B10" s="63" t="n">
        <v>0.375</v>
      </c>
      <c r="G10" s="10" t="inlineStr">
        <is>
          <t>No raw edge at the kick. Do not crack the coating.</t>
        </is>
      </c>
    </row>
    <row r="11" ht="40" customHeight="1">
      <c r="A11" s="15" t="inlineStr">
        <is>
          <t>NOMINAL FLAT GIRTH</t>
        </is>
      </c>
      <c r="B11" s="64">
        <f>SUM(B7:B10)</f>
        <v/>
      </c>
      <c r="G11" s="11" t="inlineStr">
        <is>
          <t>Sum of finished legs BEFORE bend deduction. The brake shop sets the actual blank width from its own bend allowance for 24 ga at its tooling radius — confirm on the sample piece (A5).</t>
        </is>
      </c>
    </row>
    <row r="13" ht="20" customHeight="1">
      <c r="A13" s="6" t="inlineStr">
        <is>
          <t>PITCH / BRAKE-ANGLE / QUANTITY SCHEDULE</t>
        </is>
      </c>
    </row>
    <row r="14" ht="28" customHeight="1">
      <c r="A14" s="7" t="inlineStr">
        <is>
          <t>Roof pitch</t>
        </is>
      </c>
      <c r="B14" s="7" t="inlineStr">
        <is>
          <t>Eave LF</t>
        </is>
      </c>
      <c r="C14" s="7" t="inlineStr">
        <is>
          <t>Pieces</t>
        </is>
      </c>
      <c r="D14" s="7" t="inlineStr">
        <is>
          <t>Slope angle °</t>
        </is>
      </c>
      <c r="E14" s="7" t="inlineStr">
        <is>
          <t>Inside bend °</t>
        </is>
      </c>
      <c r="F14" s="7" t="inlineStr">
        <is>
          <t>Plane</t>
        </is>
      </c>
      <c r="G14" s="7" t="inlineStr">
        <is>
          <t>Note</t>
        </is>
      </c>
    </row>
    <row r="15">
      <c r="A15" s="24" t="inlineStr">
        <is>
          <t>4/12</t>
        </is>
      </c>
      <c r="B15" s="58" t="n">
        <v>28.06</v>
      </c>
      <c r="C15" s="25" t="n">
        <v>3</v>
      </c>
      <c r="D15" s="26" t="n">
        <v>18.43</v>
      </c>
      <c r="E15" s="65" t="n">
        <v>108.4</v>
      </c>
      <c r="F15" s="18" t="inlineStr">
        <is>
          <t>S5 porch</t>
        </is>
      </c>
      <c r="G15" s="19" t="inlineStr">
        <is>
          <t>eave</t>
        </is>
      </c>
    </row>
    <row r="16">
      <c r="A16" s="24" t="inlineStr">
        <is>
          <t>8/12</t>
        </is>
      </c>
      <c r="B16" s="58" t="n">
        <v>36.02</v>
      </c>
      <c r="C16" s="25" t="n">
        <v>4</v>
      </c>
      <c r="D16" s="26" t="n">
        <v>33.69</v>
      </c>
      <c r="E16" s="65" t="n">
        <v>123.7</v>
      </c>
      <c r="F16" s="18" t="inlineStr">
        <is>
          <t>S1 + S2 main</t>
        </is>
      </c>
      <c r="G16" s="19" t="inlineStr">
        <is>
          <t>eave</t>
        </is>
      </c>
    </row>
    <row r="17">
      <c r="A17" s="24" t="inlineStr">
        <is>
          <t>8/12 rake</t>
        </is>
      </c>
      <c r="B17" s="58" t="n">
        <v>68</v>
      </c>
      <c r="C17" s="25" t="n">
        <v>8</v>
      </c>
      <c r="D17" s="26" t="n">
        <v>33.69</v>
      </c>
      <c r="E17" s="65" t="n">
        <v>90</v>
      </c>
      <c r="F17" s="18" t="inlineStr">
        <is>
          <t>main gables</t>
        </is>
      </c>
      <c r="G17" s="19" t="inlineStr">
        <is>
          <t>gable shelf — square bend; profile runs parallel to the slope, fascia leg plumb-cut at eave and ridge ends</t>
        </is>
      </c>
    </row>
    <row r="18">
      <c r="A18" s="47" t="inlineStr">
        <is>
          <t>TOTAL</t>
        </is>
      </c>
      <c r="B18" s="58">
        <f>SUM(B15:B17)</f>
        <v/>
      </c>
      <c r="C18" s="66">
        <f>SUM(C15:C17)</f>
        <v/>
      </c>
      <c r="D18" s="67" t="n"/>
      <c r="E18" s="67" t="n"/>
      <c r="F18" s="67" t="n"/>
      <c r="G18" s="68" t="inlineStr">
        <is>
          <t>3 + 4 eave pieces at two brake angles, + 8 gable-shelf pieces (Approach B)</t>
        </is>
      </c>
    </row>
    <row r="20" ht="20" customHeight="1">
      <c r="A20" s="6" t="inlineStr">
        <is>
          <t>FABRICATION NOTES</t>
        </is>
      </c>
    </row>
    <row r="21" ht="24" customHeight="1">
      <c r="A21" s="69" t="inlineStr">
        <is>
          <t>1.  Form from 24 ga prefinished PVDF coil; finish Medium Bronze; painted face OUT as shown on the profile drawing.</t>
        </is>
      </c>
    </row>
    <row r="22" ht="24" customHeight="1">
      <c r="A22" s="69" t="inlineStr">
        <is>
          <t>2.  Two eave brake set-ups (4/12 and 8/12) plus the square-bend gable-shelf run. Do not fabricate all pieces at one angle.</t>
        </is>
      </c>
    </row>
    <row r="23" ht="24" customHeight="1">
      <c r="A23" s="69" t="inlineStr">
        <is>
          <t>3.  Closed hem at the kick; no raw sharp edge. Do not crack the coating at the hem.</t>
        </is>
      </c>
    </row>
    <row r="24" ht="24" customHeight="1">
      <c r="A24" s="69" t="inlineStr">
        <is>
          <t>4.  Dimensions shown are FINISHED dimensions. The flat girth above is nominal; the brake shop sets bend deduction.</t>
        </is>
      </c>
    </row>
    <row r="25" ht="24" customHeight="1">
      <c r="A25" s="69" t="inlineStr">
        <is>
          <t>5.  Supply one sample piece at the 8/12 angle for approval before the full run (ship with the acknowledgment, A5).</t>
        </is>
      </c>
    </row>
    <row r="26" ht="24" customHeight="1">
      <c r="A26" s="69" t="inlineStr">
        <is>
          <t>6.  The 6-in panel projection is assembly intent for the panel, not a trim dimension; the roof flange itself is 6 in.</t>
        </is>
      </c>
    </row>
    <row r="27" ht="24" customHeight="1">
      <c r="A27" s="69" t="inlineStr">
        <is>
          <t>7.  Standard stock length 10 ft; laps 6 in; quantities per the schedule above. Hemmed trim is generally limited to 10 ft pieces; unhemmed can run to 14 ft.</t>
        </is>
      </c>
    </row>
    <row r="28" ht="24" customHeight="1">
      <c r="A28" s="69" t="inlineStr">
        <is>
          <t>8.  Fasten the roof flange only, 8-10 in o.c. Never face-nail the fascia leg.</t>
        </is>
      </c>
    </row>
    <row r="29" ht="24" customHeight="1">
      <c r="A29" s="69" t="inlineStr">
        <is>
          <t>9.  Girth for brake-formed roofing trim is the ARITHMETIC SUM of the finished legs — no bend deduction. In 24 ga the deduction is about 0.046 in per 90° bend, under 0.19 in across this four-bend profile, which is why roofing shops ignore it.</t>
        </is>
      </c>
    </row>
    <row r="30" ht="24" customHeight="1">
      <c r="A30" s="69" t="inlineStr">
        <is>
          <t>10.  This profile sums to 10-1/4 in, which is NOT a stock slit width. Reducing the face from 3-1/4 in to 3 in gives exactly 10 in and lands on stock. Either is accepted — supplier notes the choice on the acknowledgment (A5).</t>
        </is>
      </c>
    </row>
    <row r="31" ht="24" customHeight="1">
      <c r="A31" s="69" t="inlineStr">
        <is>
          <t>11.  Standard architectural hem is 1/2 in folded to the concealed side; the 3/8 in hem drawn here is within the 1/4–3/4 in range brake shops accept. A hem larger than 1/4 in counts as two bends for pricing.</t>
        </is>
      </c>
    </row>
    <row r="32" ht="24" customHeight="1">
      <c r="A32" s="69" t="inlineStr">
        <is>
          <t>12.  Hemmed trim is generally limited to 10 ft pieces (unhemmed can run to 14 ft), which is why this is ordered in 10 ft stock.</t>
        </is>
      </c>
    </row>
    <row r="33" ht="24" customHeight="1">
      <c r="A33" s="69" t="inlineStr">
        <is>
          <t>13.  Fasten the roof flange only, 8–10 in o.c. Never face-nail the fascia leg (ARMA).</t>
        </is>
      </c>
    </row>
    <row r="34" ht="24" customHeight="1">
      <c r="A34" s="69" t="inlineStr">
        <is>
          <t>14.  A shop drawing is RFI-free when it carries all six of: quantity, length, colour, dimensions, angles and finished side. All six are on this sheet, plus the blank size.</t>
        </is>
      </c>
    </row>
  </sheetData>
  <mergeCells count="19">
    <mergeCell ref="A32:G32"/>
    <mergeCell ref="A1:G2"/>
    <mergeCell ref="A22:G22"/>
    <mergeCell ref="A20:G20"/>
    <mergeCell ref="A29:G29"/>
    <mergeCell ref="A28:G28"/>
    <mergeCell ref="A13:G13"/>
    <mergeCell ref="A31:G31"/>
    <mergeCell ref="A34:G34"/>
    <mergeCell ref="A24:G24"/>
    <mergeCell ref="A30:G30"/>
    <mergeCell ref="A25:G25"/>
    <mergeCell ref="A27:G27"/>
    <mergeCell ref="A3:G3"/>
    <mergeCell ref="A21:G21"/>
    <mergeCell ref="A26:G26"/>
    <mergeCell ref="A33:G33"/>
    <mergeCell ref="A5:G5"/>
    <mergeCell ref="A23:G23"/>
  </mergeCells>
  <printOptions horizontalCentered="1"/>
  <pageMargins left="0.35" right="0.35" top="0.45" bottom="0.45" header="0.5" footer="0.5"/>
  <pageSetup orientation="landscape" paperSize="1" fitToHeight="0" fitToWidth="1"/>
</worksheet>
</file>

<file path=xl/worksheets/sheet8.xml><?xml version="1.0" encoding="utf-8"?>
<worksheet xmlns="http://schemas.openxmlformats.org/spreadsheetml/2006/main">
  <sheetPr>
    <outlinePr summaryBelow="1" summaryRight="1"/>
    <pageSetUpPr fitToPage="1"/>
  </sheetPr>
  <dimension ref="A1:H33"/>
  <sheetViews>
    <sheetView workbookViewId="0">
      <selection activeCell="A1" sqref="A1"/>
    </sheetView>
  </sheetViews>
  <sheetFormatPr baseColWidth="8" defaultRowHeight="15"/>
  <cols>
    <col width="20" customWidth="1" min="1" max="1"/>
    <col width="24" customWidth="1" min="2" max="2"/>
    <col width="10" customWidth="1" min="3" max="3"/>
    <col width="10" customWidth="1" min="4" max="4"/>
    <col width="14" customWidth="1" min="5" max="5"/>
    <col width="12" customWidth="1" min="6" max="6"/>
    <col width="30" customWidth="1" min="7" max="7"/>
    <col width="46" customWidth="1" min="8" max="8"/>
  </cols>
  <sheetData>
    <row r="1" ht="24" customHeight="1">
      <c r="A1" s="1" t="inlineStr">
        <is>
          <t>COLLINS — 24 GA COLOUR MATCH</t>
        </is>
      </c>
      <c r="B1" s="2" t="n"/>
      <c r="C1" s="2" t="n"/>
      <c r="D1" s="2" t="n"/>
      <c r="E1" s="2" t="n"/>
      <c r="F1" s="2" t="n"/>
      <c r="G1" s="2" t="n"/>
      <c r="H1" s="2" t="n"/>
    </row>
    <row r="2" ht="16" customHeight="1">
      <c r="A2" s="2" t="n"/>
      <c r="B2" s="2" t="n"/>
      <c r="C2" s="2" t="n"/>
      <c r="D2" s="2" t="n"/>
      <c r="E2" s="2" t="n"/>
      <c r="F2" s="2" t="n"/>
      <c r="G2" s="2" t="n"/>
      <c r="H2" s="2" t="n"/>
    </row>
    <row r="3" ht="15" customHeight="1">
      <c r="A3" s="3" t="inlineStr">
        <is>
          <t>Digital comparison only. A physical 24 ga chip controls production — it ships with the order acknowledgment (A1) for customer sign-off before the coil run.</t>
        </is>
      </c>
    </row>
    <row r="5" ht="20" customHeight="1">
      <c r="A5" s="6" t="inlineStr">
        <is>
          <t>TARGET</t>
        </is>
      </c>
    </row>
    <row r="6">
      <c r="A6" s="10" t="inlineStr">
        <is>
          <t>Customer reference</t>
        </is>
      </c>
      <c r="B6" s="8" t="inlineStr">
        <is>
          <t>Weathered Copper</t>
        </is>
      </c>
    </row>
    <row r="7">
      <c r="A7" s="10" t="inlineStr">
        <is>
          <t>Status</t>
        </is>
      </c>
      <c r="B7" s="8" t="inlineStr">
        <is>
          <t>Kevin's stated reference — NOT LOCKED</t>
        </is>
      </c>
    </row>
    <row r="8">
      <c r="A8" s="10" t="inlineStr">
        <is>
          <t>Reference hex (indicative)</t>
        </is>
      </c>
      <c r="B8" s="8" t="inlineStr">
        <is>
          <t>#484035</t>
        </is>
      </c>
    </row>
    <row r="9">
      <c r="A9" s="10" t="inlineStr">
        <is>
          <t>Caveat</t>
        </is>
      </c>
      <c r="B9" s="8" t="inlineStr">
        <is>
          <t>v1 reference chip was captured from a 26 ga sample; 24 ga finishes are compared against it</t>
        </is>
      </c>
    </row>
    <row r="10">
      <c r="A10" s="10" t="inlineStr">
        <is>
          <t>Availability</t>
        </is>
      </c>
      <c r="B10" s="8" t="inlineStr">
        <is>
          <t>Ibex offers Weathered Copper only in its Smooth/SMP line; in PVDF the closest finish is Medium Bronze — both alternates recorded below</t>
        </is>
      </c>
    </row>
    <row r="12" ht="20" customHeight="1">
      <c r="A12" s="6" t="inlineStr">
        <is>
          <t>IBEX 24 GA PVDF CANDIDATES</t>
        </is>
      </c>
    </row>
    <row r="13" ht="28" customHeight="1">
      <c r="A13" s="7" t="inlineStr">
        <is>
          <t>Rank</t>
        </is>
      </c>
      <c r="B13" s="7" t="inlineStr">
        <is>
          <t>Ibex finish</t>
        </is>
      </c>
      <c r="C13" s="7" t="inlineStr">
        <is>
          <t>Gauge</t>
        </is>
      </c>
      <c r="D13" s="7" t="inlineStr">
        <is>
          <t>Coating</t>
        </is>
      </c>
      <c r="E13" s="7" t="inlineStr">
        <is>
          <t>Median hex</t>
        </is>
      </c>
      <c r="F13" s="7" t="inlineStr">
        <is>
          <t>ΔE76</t>
        </is>
      </c>
      <c r="G13" s="7" t="inlineStr">
        <is>
          <t>Disposition</t>
        </is>
      </c>
      <c r="H13" s="7" t="inlineStr">
        <is>
          <t>Source</t>
        </is>
      </c>
    </row>
    <row r="14">
      <c r="A14" s="18" t="n">
        <v>1</v>
      </c>
      <c r="B14" s="24" t="inlineStr">
        <is>
          <t>Medium Bronze</t>
        </is>
      </c>
      <c r="C14" s="18" t="inlineStr">
        <is>
          <t>24 ga</t>
        </is>
      </c>
      <c r="D14" s="18" t="inlineStr">
        <is>
          <t>PVDF</t>
        </is>
      </c>
      <c r="E14" s="70" t="inlineStr">
        <is>
          <t>#524942</t>
        </is>
      </c>
      <c r="F14" s="26" t="n">
        <v>4.9</v>
      </c>
      <c r="G14" s="71" t="inlineStr">
        <is>
          <t>SELECTED</t>
        </is>
      </c>
      <c r="H14" s="19" t="inlineStr">
        <is>
          <t>https://www.ibexmetal.com/products/colors/</t>
        </is>
      </c>
    </row>
    <row r="15">
      <c r="A15" s="18" t="n">
        <v>2</v>
      </c>
      <c r="B15" s="16" t="inlineStr">
        <is>
          <t>Dark Bronze</t>
        </is>
      </c>
      <c r="C15" s="18" t="inlineStr">
        <is>
          <t>24 ga</t>
        </is>
      </c>
      <c r="D15" s="18" t="inlineStr">
        <is>
          <t>PVDF</t>
        </is>
      </c>
      <c r="E15" s="72" t="inlineStr">
        <is>
          <t>#373536</t>
        </is>
      </c>
      <c r="F15" s="26" t="n">
        <v>10.05</v>
      </c>
      <c r="G15" s="19" t="inlineStr">
        <is>
          <t>Alternate</t>
        </is>
      </c>
      <c r="H15" s="19" t="inlineStr">
        <is>
          <t>https://www.ibexmetal.com/products/colors/</t>
        </is>
      </c>
    </row>
    <row r="16">
      <c r="A16" s="18" t="n">
        <v>3</v>
      </c>
      <c r="B16" s="16" t="inlineStr">
        <is>
          <t>Rustic Rawhide</t>
        </is>
      </c>
      <c r="C16" s="18" t="inlineStr">
        <is>
          <t>24 ga</t>
        </is>
      </c>
      <c r="D16" s="18" t="inlineStr">
        <is>
          <t>PVDF</t>
        </is>
      </c>
      <c r="E16" s="18" t="inlineStr">
        <is>
          <t>textured — no single hex</t>
        </is>
      </c>
      <c r="F16" s="26" t="n">
        <v>11.14</v>
      </c>
      <c r="G16" s="19" t="inlineStr">
        <is>
          <t>Alternate — textured</t>
        </is>
      </c>
      <c r="H16" s="19" t="inlineStr">
        <is>
          <t>https://www.ibexmetal.com/products/colors/</t>
        </is>
      </c>
    </row>
    <row r="17">
      <c r="A17" s="18" t="n">
        <v>4</v>
      </c>
      <c r="B17" s="16" t="inlineStr">
        <is>
          <t>Gotham Patina</t>
        </is>
      </c>
      <c r="C17" s="18" t="inlineStr">
        <is>
          <t>24 ga</t>
        </is>
      </c>
      <c r="D17" s="18" t="inlineStr">
        <is>
          <t>PVDF</t>
        </is>
      </c>
      <c r="E17" s="73" t="inlineStr">
        <is>
          <t>#666664</t>
        </is>
      </c>
      <c r="F17" s="26" t="n">
        <v>15.24</v>
      </c>
      <c r="G17" s="19" t="inlineStr">
        <is>
          <t>Alternate</t>
        </is>
      </c>
      <c r="H17" s="19" t="inlineStr">
        <is>
          <t>https://www.ibexmetal.com/products/colors/</t>
        </is>
      </c>
    </row>
    <row r="18">
      <c r="A18" s="18" t="n">
        <v>5</v>
      </c>
      <c r="B18" s="16" t="inlineStr">
        <is>
          <t>Vintage</t>
        </is>
      </c>
      <c r="C18" s="18" t="inlineStr">
        <is>
          <t>24 ga</t>
        </is>
      </c>
      <c r="D18" s="18" t="inlineStr">
        <is>
          <t>PVDF</t>
        </is>
      </c>
      <c r="E18" s="74" t="inlineStr">
        <is>
          <t>#B4B4AC</t>
        </is>
      </c>
      <c r="F18" s="26" t="n">
        <v>39.02</v>
      </c>
      <c r="G18" s="19" t="inlineStr">
        <is>
          <t>Too light</t>
        </is>
      </c>
      <c r="H18" s="19" t="inlineStr">
        <is>
          <t>https://www.ibexmetal.com/products/colors/</t>
        </is>
      </c>
    </row>
    <row r="20" ht="20" customHeight="1">
      <c r="A20" s="6" t="inlineStr">
        <is>
          <t>THE SELECTION AND ITS TWO RECORDED ALTERNATES</t>
        </is>
      </c>
    </row>
    <row r="21" ht="28" customHeight="1">
      <c r="A21" s="7" t="inlineStr"/>
      <c r="B21" s="7" t="inlineStr">
        <is>
          <t>Option</t>
        </is>
      </c>
      <c r="C21" s="7" t="inlineStr">
        <is>
          <t>Status</t>
        </is>
      </c>
      <c r="D21" s="7" t="inlineStr"/>
      <c r="E21" s="7" t="inlineStr">
        <is>
          <t>What it gets you</t>
        </is>
      </c>
      <c r="F21" s="7" t="inlineStr"/>
      <c r="G21" s="7" t="inlineStr">
        <is>
          <t>Warranty</t>
        </is>
      </c>
      <c r="H21" s="7" t="inlineStr"/>
    </row>
    <row r="22" ht="46" customHeight="1">
      <c r="A22" s="75" t="inlineStr">
        <is>
          <t>A</t>
        </is>
      </c>
      <c r="B22" s="16" t="inlineStr">
        <is>
          <t>Ibex Medium Bronze — 24 ga PVDF</t>
        </is>
      </c>
      <c r="C22" s="71" t="inlineStr">
        <is>
          <t>SELECTED (current basis)</t>
        </is>
      </c>
      <c r="D22" s="23" t="n"/>
      <c r="E22" s="60" t="inlineStr">
        <is>
          <t>Closest Ibex PVDF finish to the reference. Best coating class available from this supplier. Not the customer's named colour.</t>
        </is>
      </c>
      <c r="F22" s="23" t="n"/>
      <c r="G22" s="60" t="inlineStr">
        <is>
          <t>35-year PVDF limited warranty (colour change limit 5 ΔE Hunter over 30 years, ASTM D2244)</t>
        </is>
      </c>
      <c r="H22" s="23" t="n"/>
    </row>
    <row r="23" ht="46" customHeight="1">
      <c r="A23" s="75" t="inlineStr">
        <is>
          <t>B</t>
        </is>
      </c>
      <c r="B23" s="16" t="inlineStr">
        <is>
          <t>Ibex Weathered Copper — Smooth / SMP</t>
        </is>
      </c>
      <c r="C23" s="24" t="inlineStr">
        <is>
          <t>AVAILABLE FROM THE SAME SUPPLIER</t>
        </is>
      </c>
      <c r="D23" s="23" t="n"/>
      <c r="E23" s="60" t="inlineStr">
        <is>
          <t>The customer's named colour, from Ibex, listed on the PBR profile. Trades the PVDF coating for Ibex's Smooth line. Same order, same supplier, no second vendor.</t>
        </is>
      </c>
      <c r="F23" s="23" t="n"/>
      <c r="G23" s="60" t="inlineStr">
        <is>
          <t>40-year limited warranty on Smooth and Crinkle colours — a longer number on a lower-class coating; SMP chalks and fades faster than PVDF in service</t>
        </is>
      </c>
      <c r="H23" s="23" t="n"/>
    </row>
    <row r="24" ht="46" customHeight="1">
      <c r="A24" s="75" t="inlineStr">
        <is>
          <t>C</t>
        </is>
      </c>
      <c r="B24" s="16" t="inlineStr">
        <is>
          <t>Metal Sales Weathered Copper W50 — 24 ga PVDF</t>
        </is>
      </c>
      <c r="C24" s="24" t="inlineStr">
        <is>
          <t>SECOND SUPPLIER</t>
        </is>
      </c>
      <c r="D24" s="23" t="n"/>
      <c r="E24" s="60" t="inlineStr">
        <is>
          <t>The named colour AND a PVDF coating, but from a different manufacturer. Nearest branch is Spokane. Metal Sales also carries a separate 'Aged Copper' — do not conflate them on a PO.</t>
        </is>
      </c>
      <c r="F24" s="23" t="n"/>
      <c r="G24" s="60" t="inlineStr">
        <is>
          <t>45-year limited warranty. Stocking is branch-dependent — confirm before committing</t>
        </is>
      </c>
      <c r="H24" s="23" t="n"/>
    </row>
    <row r="26" ht="20" customHeight="1">
      <c r="A26" s="6" t="inlineStr">
        <is>
          <t>WHAT THE NUMBERS ON THIS SHEET DO AND DO NOT MEAN</t>
        </is>
      </c>
    </row>
    <row r="27" ht="34" customHeight="1">
      <c r="A27" s="11" t="inlineStr">
        <is>
          <t>Ibex's PVDF family is 16 colours and Weathered Copper is not among them. Ibex lists Weathered Copper under SMOOTH COLOURS, and it does appear in the PBR profile's available-colour list. So the customer's colour is obtainable from Ibex — in a different coating class.</t>
        </is>
      </c>
    </row>
    <row r="28" ht="34" customHeight="1">
      <c r="A28" s="11" t="inlineStr">
        <is>
          <t>The industry way to state a match tolerance is Delta E per ASTM D2244, and AAMA 2604/2605 §8.1 Colour Uniformity suggests a maximum of 2 ΔE. The commonly-quoted 5 ΔE is a WEATHERING limit, not an order-time match criterion — do not accept it as one.</t>
        </is>
      </c>
    </row>
    <row r="29" ht="34" customHeight="1">
      <c r="A29" s="11" t="inlineStr">
        <is>
          <t>The ΔE figures on this page were computed from screen-captured web swatches. ASTM D2244 computes colour difference only from instrumentally measured coordinates of opaque specimens. These numbers rank candidates; they cannot accept a finish.</t>
        </is>
      </c>
    </row>
    <row r="30" ht="34" customHeight="1">
      <c r="A30" s="11" t="inlineStr">
        <is>
          <t>No manufacturer publishes L*a*b* values for any of these colours, so a numeric ΔE between Ibex Weathered Copper (SMP) and Metal Sales Weathered Copper W50 (PVDF) cannot be computed from anything published. Three products share the name; that does not make them the same colour. Get physical chips of all three.</t>
        </is>
      </c>
    </row>
    <row r="31" ht="34" customHeight="1">
      <c r="A31" s="11" t="inlineStr">
        <is>
          <t>Every manufacturer reviewed publishes the same rule in its own words: a printed or digital swatch is not a match reference; a physical metal chip controls.</t>
        </is>
      </c>
    </row>
    <row r="33" ht="20" customHeight="1">
      <c r="A33" s="6" t="inlineStr">
        <is>
          <t>OTHER MANUFACTURERS EXAMINED</t>
        </is>
      </c>
    </row>
  </sheetData>
  <mergeCells count="26">
    <mergeCell ref="A30:H30"/>
    <mergeCell ref="C24:D24"/>
    <mergeCell ref="B9:H9"/>
    <mergeCell ref="E24:F24"/>
    <mergeCell ref="B6:H6"/>
    <mergeCell ref="E23:F23"/>
    <mergeCell ref="G23:H23"/>
    <mergeCell ref="C22:D22"/>
    <mergeCell ref="B7:H7"/>
    <mergeCell ref="A27:H27"/>
    <mergeCell ref="A12:H12"/>
    <mergeCell ref="A3:H3"/>
    <mergeCell ref="A26:H26"/>
    <mergeCell ref="G24:H24"/>
    <mergeCell ref="A33:H33"/>
    <mergeCell ref="A5:H5"/>
    <mergeCell ref="A1:H2"/>
    <mergeCell ref="C23:D23"/>
    <mergeCell ref="B8:H8"/>
    <mergeCell ref="A29:H29"/>
    <mergeCell ref="A20:H20"/>
    <mergeCell ref="A28:H28"/>
    <mergeCell ref="E22:F22"/>
    <mergeCell ref="B10:H10"/>
    <mergeCell ref="G22:H22"/>
    <mergeCell ref="A31:H31"/>
  </mergeCells>
  <printOptions horizontalCentered="1"/>
  <pageMargins left="0.35" right="0.35" top="0.45" bottom="0.45" header="0.5" footer="0.5"/>
  <pageSetup orientation="landscape" paperSize="1" fitToHeight="0" fitToWidth="1"/>
</worksheet>
</file>

<file path=xl/worksheets/sheet9.xml><?xml version="1.0" encoding="utf-8"?>
<worksheet xmlns="http://schemas.openxmlformats.org/spreadsheetml/2006/main">
  <sheetPr>
    <outlinePr summaryBelow="1" summaryRight="1"/>
    <pageSetUpPr fitToPage="1"/>
  </sheetPr>
  <dimension ref="A1:H15"/>
  <sheetViews>
    <sheetView workbookViewId="0">
      <selection activeCell="A1" sqref="A1"/>
    </sheetView>
  </sheetViews>
  <sheetFormatPr baseColWidth="8" defaultRowHeight="15"/>
  <cols>
    <col width="8" customWidth="1" min="1" max="1"/>
    <col width="34" customWidth="1" min="2" max="2"/>
    <col width="10" customWidth="1" min="3" max="3"/>
    <col width="16" customWidth="1" min="4" max="4"/>
    <col width="16" customWidth="1" min="5" max="5"/>
    <col width="16" customWidth="1" min="6" max="6"/>
    <col width="22" customWidth="1" min="7" max="7"/>
    <col width="34" customWidth="1" min="8" max="8"/>
  </cols>
  <sheetData>
    <row r="1" ht="24" customHeight="1">
      <c r="A1" s="1" t="inlineStr">
        <is>
          <t>COLLINS — FIELD VERIFICATION RECORD</t>
        </is>
      </c>
      <c r="B1" s="2" t="n"/>
      <c r="C1" s="2" t="n"/>
      <c r="D1" s="2" t="n"/>
      <c r="E1" s="2" t="n"/>
      <c r="F1" s="2" t="n"/>
      <c r="G1" s="2" t="n"/>
      <c r="H1" s="2" t="n"/>
    </row>
    <row r="2" ht="16" customHeight="1">
      <c r="A2" s="2" t="n"/>
      <c r="B2" s="2" t="n"/>
      <c r="C2" s="2" t="n"/>
      <c r="D2" s="2" t="n"/>
      <c r="E2" s="2" t="n"/>
      <c r="F2" s="2" t="n"/>
      <c r="G2" s="2" t="n"/>
      <c r="H2" s="2" t="n"/>
    </row>
    <row r="3" ht="15" customHeight="1">
      <c r="A3" s="3" t="inlineStr">
        <is>
          <t>Main-roof runs were tape-measured and scale-verified on 2026-07-24 — the order basis is confirmed, not assumed. Remaining sections re-check at Phase-1 tear-off (open deck, no obstructions); every panel is ordered LONG, so a delta trims at the top under trim instead of scrapping a blank.</t>
        </is>
      </c>
    </row>
    <row r="5" ht="28" customHeight="1">
      <c r="A5" s="7" t="inlineStr">
        <is>
          <t>Sect</t>
        </is>
      </c>
      <c r="B5" s="7" t="inlineStr">
        <is>
          <t>Description</t>
        </is>
      </c>
      <c r="C5" s="7" t="inlineStr">
        <is>
          <t>Pitch</t>
        </is>
      </c>
      <c r="D5" s="7" t="inlineStr">
        <is>
          <t>Order-basis run ft</t>
        </is>
      </c>
      <c r="E5" s="7" t="inlineStr">
        <is>
          <t>FIELD MEASURED ft</t>
        </is>
      </c>
      <c r="F5" s="7" t="inlineStr">
        <is>
          <t>Delta in</t>
        </is>
      </c>
      <c r="G5" s="7" t="inlineStr">
        <is>
          <t>Status</t>
        </is>
      </c>
      <c r="H5" s="7" t="inlineStr">
        <is>
          <t>Verified by / date</t>
        </is>
      </c>
    </row>
    <row r="6">
      <c r="A6" s="75" t="inlineStr">
        <is>
          <t>S2</t>
        </is>
      </c>
      <c r="B6" s="16" t="inlineStr">
        <is>
          <t>S2 · MAIN ROOF — RIGHT SLOPE</t>
        </is>
      </c>
      <c r="C6" s="18" t="inlineStr">
        <is>
          <t>8/12</t>
        </is>
      </c>
      <c r="D6" s="76">
        <f>MAXIFS('Panel Cut List'!$G$6:$G$51,'Panel Cut List'!$B$6:$B$51,"D")</f>
        <v/>
      </c>
      <c r="E6" s="77" t="n">
        <v>17</v>
      </c>
      <c r="F6" s="65">
        <f>IF(E6="","",(E6-D6)*12)</f>
        <v/>
      </c>
      <c r="G6" s="24">
        <f>IF(E6="","RE-CHECK AT TEAR-OFF",IF(ABS(F6)&lt;=1,"VERIFIED","REVIEW"))</f>
        <v/>
      </c>
      <c r="H6" s="78" t="inlineStr">
        <is>
          <t>Tape + scale sheet, 2026-07-24</t>
        </is>
      </c>
    </row>
    <row r="7">
      <c r="A7" s="75" t="inlineStr">
        <is>
          <t>S1</t>
        </is>
      </c>
      <c r="B7" s="16" t="inlineStr">
        <is>
          <t>S1 · MAIN ROOF — LEFT SLOPE</t>
        </is>
      </c>
      <c r="C7" s="18" t="inlineStr">
        <is>
          <t>8/12</t>
        </is>
      </c>
      <c r="D7" s="76">
        <f>MAXIFS('Panel Cut List'!$G$6:$G$51,'Panel Cut List'!$B$6:$B$51,"E")</f>
        <v/>
      </c>
      <c r="E7" s="77" t="n">
        <v>17</v>
      </c>
      <c r="F7" s="65">
        <f>IF(E7="","",(E7-D7)*12)</f>
        <v/>
      </c>
      <c r="G7" s="24">
        <f>IF(E7="","RE-CHECK AT TEAR-OFF",IF(ABS(F7)&lt;=1,"VERIFIED","REVIEW"))</f>
        <v/>
      </c>
      <c r="H7" s="78" t="inlineStr">
        <is>
          <t>Tape + scale sheet, 2026-07-24</t>
        </is>
      </c>
    </row>
    <row r="8">
      <c r="A8" s="75" t="inlineStr">
        <is>
          <t>S5</t>
        </is>
      </c>
      <c r="B8" s="16" t="inlineStr">
        <is>
          <t>S5 · PORCH ROOF (4/12)</t>
        </is>
      </c>
      <c r="C8" s="18" t="inlineStr">
        <is>
          <t>4/12</t>
        </is>
      </c>
      <c r="D8" s="76">
        <f>MAXIFS('Panel Cut List'!$G$6:$G$51,'Panel Cut List'!$B$6:$B$51,"H")</f>
        <v/>
      </c>
      <c r="E8" s="77" t="n"/>
      <c r="F8" s="65">
        <f>IF(E8="","",(E8-D8)*12)</f>
        <v/>
      </c>
      <c r="G8" s="24">
        <f>IF(E8="","RE-CHECK AT TEAR-OFF",IF(ABS(F8)&lt;=1,"VERIFIED","REVIEW"))</f>
        <v/>
      </c>
      <c r="H8" s="78" t="inlineStr">
        <is>
          <t>Phase-1 tear-off — open deck</t>
        </is>
      </c>
    </row>
    <row r="9">
      <c r="A9" s="75" t="inlineStr">
        <is>
          <t>S3</t>
        </is>
      </c>
      <c r="B9" s="16" t="inlineStr">
        <is>
          <t>S3 · FRONT UPPER FACE (11/12)</t>
        </is>
      </c>
      <c r="C9" s="18" t="inlineStr">
        <is>
          <t>11/12</t>
        </is>
      </c>
      <c r="D9" s="76">
        <f>MAXIFS('Panel Cut List'!$G$6:$G$51,'Panel Cut List'!$B$6:$B$51,"I")</f>
        <v/>
      </c>
      <c r="E9" s="77" t="n"/>
      <c r="F9" s="65">
        <f>IF(E9="","",(E9-D9)*12)</f>
        <v/>
      </c>
      <c r="G9" s="24">
        <f>IF(E9="","RE-CHECK AT TEAR-OFF",IF(ABS(F9)&lt;=1,"VERIFIED","REVIEW"))</f>
        <v/>
      </c>
      <c r="H9" s="78" t="inlineStr">
        <is>
          <t>Phase-1 tear-off — open deck</t>
        </is>
      </c>
    </row>
    <row r="10">
      <c r="A10" s="75" t="inlineStr">
        <is>
          <t>S4</t>
        </is>
      </c>
      <c r="B10" s="16" t="inlineStr">
        <is>
          <t>S4 · FRONT CORNER RETURNS (9/12)</t>
        </is>
      </c>
      <c r="C10" s="18" t="inlineStr">
        <is>
          <t>9/12</t>
        </is>
      </c>
      <c r="D10" s="76">
        <f>MAXIFS('Panel Cut List'!$G$6:$G$51,'Panel Cut List'!$B$6:$B$51,"J")</f>
        <v/>
      </c>
      <c r="E10" s="77" t="n"/>
      <c r="F10" s="65">
        <f>IF(E10="","",(E10-D10)*12)</f>
        <v/>
      </c>
      <c r="G10" s="24">
        <f>IF(E10="","RE-CHECK AT TEAR-OFF",IF(ABS(F10)&lt;=1,"VERIFIED","REVIEW"))</f>
        <v/>
      </c>
      <c r="H10" s="78" t="inlineStr">
        <is>
          <t>Phase-1 tear-off — open deck</t>
        </is>
      </c>
    </row>
    <row r="12" ht="40" customHeight="1">
      <c r="A12" s="15" t="inlineStr">
        <is>
          <t>BASIS</t>
        </is>
      </c>
      <c r="B12" s="11" t="inlineStr">
        <is>
          <t>Main roof (18 of 46 blanks, 56% of footage): VERIFIED to within half an inch. Remaining sections: same drawing whose verified runs matched the tape; ordered long; slop trims at the top. Re-check on the open deck at tear-off, before the Phase-2 material call to Ibex.</t>
        </is>
      </c>
    </row>
    <row r="14" ht="26" customHeight="1">
      <c r="A14" s="11" t="inlineStr">
        <is>
          <t>Measure eave-to-ridge along the slope, on the rafter line. Record the raw measurement — do not add the eave projection.</t>
        </is>
      </c>
    </row>
    <row r="15" ht="26" customHeight="1">
      <c r="A15" s="11" t="inlineStr">
        <is>
          <t>The Phase-2 confirmation call to Ibex (production plan, owner window) is the moment any tear-off delta gets folded in — before fabrication, at zero cost.</t>
        </is>
      </c>
    </row>
  </sheetData>
  <mergeCells count="5">
    <mergeCell ref="A3:H3"/>
    <mergeCell ref="A15:H15"/>
    <mergeCell ref="B12:H12"/>
    <mergeCell ref="A14:H14"/>
    <mergeCell ref="A1:H2"/>
  </mergeCells>
  <printOptions horizontalCentered="1"/>
  <pageMargins left="0.35" right="0.35" top="0.45" bottom="0.45" header="0.5" footer="0.5"/>
  <pageSetup orientation="landscape" paperSize="1"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2026-07-29T00:04:13Z</dcterms:created>
  <dcterms:modified xmlns:dcterms="http://purl.org/dc/terms/" xmlns:xsi="http://www.w3.org/2001/XMLSchema-instance" xsi:type="dcterms:W3CDTF">2026-07-29T00:04:13Z</dcterms:modified>
</cp:coreProperties>
</file>